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465" windowWidth="10860" windowHeight="5130" activeTab="0"/>
  </bookViews>
  <sheets>
    <sheet name="FORM3" sheetId="1" r:id="rId1"/>
  </sheets>
  <definedNames>
    <definedName name="\a">'FORM3'!#REF!</definedName>
    <definedName name="\k">'FORM3'!#REF!</definedName>
    <definedName name="\m">'FORM3'!#REF!</definedName>
    <definedName name="\p">'FORM3'!#REF!</definedName>
    <definedName name="\q">'FORM3'!#REF!</definedName>
    <definedName name="ACID1">'FORM3'!#REF!</definedName>
    <definedName name="ACIDOSI">'FORM3'!#REF!</definedName>
    <definedName name="ALT">'FORM3'!#REF!</definedName>
    <definedName name="ANNO">'FORM3'!#REF!</definedName>
    <definedName name="ANTRANGE">'FORM3'!$B$23:$H$75</definedName>
    <definedName name="ANTROP">'FORM3'!#REF!</definedName>
    <definedName name="_xlnm.Print_Area" localSheetId="0">'FORM3'!#REF!</definedName>
    <definedName name="AZART">'FORM3'!#REF!</definedName>
    <definedName name="AZFIN1">'FORM3'!#REF!</definedName>
    <definedName name="AZIN1">'FORM3'!#REF!</definedName>
    <definedName name="AZIN2">'FORM3'!#REF!</definedName>
    <definedName name="AZPER">'FORM3'!#REF!</definedName>
    <definedName name="AZVENA">'FORM3'!#REF!</definedName>
    <definedName name="BICARB">'FORM3'!#REF!</definedName>
    <definedName name="BMID">'FORM3'!$B$79:$C$85</definedName>
    <definedName name="BMIM">'FORM3'!$F$79:$G$85</definedName>
    <definedName name="BUN">'FORM3'!#REF!</definedName>
    <definedName name="BUNDIALIZ">'FORM3'!#REF!</definedName>
    <definedName name="BUNG1">'FORM3'!#REF!</definedName>
    <definedName name="BUNG2">'FORM3'!#REF!</definedName>
    <definedName name="BWPC1">'FORM3'!#REF!</definedName>
    <definedName name="BWPC2">'FORM3'!#REF!</definedName>
    <definedName name="CALCOSM">'FORM3'!#REF!</definedName>
    <definedName name="CALOPOND">'FORM3'!#REF!</definedName>
    <definedName name="CC">'FORM3'!#REF!</definedName>
    <definedName name="CLE1">'FORM3'!#REF!</definedName>
    <definedName name="CLFILCALC">'FORM3'!#REF!</definedName>
    <definedName name="CLFILTRO">'FORM3'!#REF!</definedName>
    <definedName name="CLNORM">'FORM3'!#REF!</definedName>
    <definedName name="CLNORM2">'FORM3'!#REF!</definedName>
    <definedName name="CLORO">'FORM3'!#REF!</definedName>
    <definedName name="CLRES">'FORM3'!#REF!</definedName>
    <definedName name="CREA1">'FORM3'!#REF!</definedName>
    <definedName name="CREAURIN">'FORM3'!#REF!</definedName>
    <definedName name="DAT1">'FORM3'!#REF!</definedName>
    <definedName name="DATA">'FORM3'!#REF!</definedName>
    <definedName name="DATADIVERSA">'FORM3'!#REF!</definedName>
    <definedName name="DOM">'FORM3'!#REF!</definedName>
    <definedName name="DOMACB">'FORM3'!#REF!</definedName>
    <definedName name="DOP">'FORM3'!#REF!</definedName>
    <definedName name="DOP1">'FORM3'!#REF!</definedName>
    <definedName name="ELENCO">'FORM3'!#REF!</definedName>
    <definedName name="EMOGAS">'FORM3'!#REF!</definedName>
    <definedName name="EQ2ACBASE">'FORM3'!#REF!</definedName>
    <definedName name="EQACBASE">'FORM3'!#REF!</definedName>
    <definedName name="ETA">'FORM3'!#REF!</definedName>
    <definedName name="FLUSSO">'FORM3'!#REF!</definedName>
    <definedName name="GIORNO">'FORM3'!#REF!</definedName>
    <definedName name="GLU">'FORM3'!#REF!</definedName>
    <definedName name="GTT">'FORM3'!#REF!</definedName>
    <definedName name="INFEP">'FORM3'!#REF!</definedName>
    <definedName name="INFEPAR">'FORM3'!#REF!</definedName>
    <definedName name="INFUS">'FORM3'!#REF!</definedName>
    <definedName name="INFUS1">'FORM3'!#REF!</definedName>
    <definedName name="IPERNA">'FORM3'!#REF!</definedName>
    <definedName name="IPERNA1">'FORM3'!#REF!</definedName>
    <definedName name="K">'FORM3'!#REF!</definedName>
    <definedName name="KNOME">'FORM3'!#REF!</definedName>
    <definedName name="KOPZIONE">'FORM3'!#REF!</definedName>
    <definedName name="KTV">'FORM3'!#REF!</definedName>
    <definedName name="KTVCALC">'FORM3'!#REF!</definedName>
    <definedName name="KTVOLUTO">'FORM3'!#REF!</definedName>
    <definedName name="LARN">'FORM3'!$B$168:$E$176</definedName>
    <definedName name="LARN1">'FORM3'!$B$179:$H$211</definedName>
    <definedName name="LARN2">'FORM3'!$B$178</definedName>
    <definedName name="LEARN">'FORM3'!#REF!</definedName>
    <definedName name="MESE">'FORM3'!#REF!</definedName>
    <definedName name="MET">'FORM3'!#REF!</definedName>
    <definedName name="METROPF">'FORM3'!$B$106:$H$121</definedName>
    <definedName name="METROPM">'FORM3'!$B$90:$H$105</definedName>
    <definedName name="MGDOP">'FORM3'!#REF!</definedName>
    <definedName name="MINUTI">'FORM3'!#REF!</definedName>
    <definedName name="MMINTERD">'FORM3'!#REF!</definedName>
    <definedName name="NA">'FORM3'!#REF!</definedName>
    <definedName name="NAFILTR">'FORM3'!#REF!</definedName>
    <definedName name="NAURIN">'FORM3'!#REF!</definedName>
    <definedName name="NOME">'FORM3'!#REF!</definedName>
    <definedName name="OPZIONE">'FORM3'!#REF!</definedName>
    <definedName name="OSMOLARITA">'FORM3'!#REF!</definedName>
    <definedName name="OSMP1">'FORM3'!#REF!</definedName>
    <definedName name="OSMU1">'FORM3'!#REF!</definedName>
    <definedName name="PACCA">'FORM3'!#REF!</definedName>
    <definedName name="PCO2">'FORM3'!#REF!</definedName>
    <definedName name="PCR">'FORM3'!#REF!</definedName>
    <definedName name="PESO">'FORM3'!#REF!</definedName>
    <definedName name="PESORIF">'FORM3'!$E$39</definedName>
    <definedName name="POSMENU">'FORM3'!#REF!</definedName>
    <definedName name="POSS2">'FORM3'!#REF!</definedName>
    <definedName name="PRINTARGET">'FORM3'!#REF!</definedName>
    <definedName name="PRINTARGET2">'FORM3'!#REF!</definedName>
    <definedName name="PRINTCANC">'FORM3'!#REF!</definedName>
    <definedName name="PRINTRANGE">'FORM3'!#REF!</definedName>
    <definedName name="REPARTO">'FORM3'!#REF!</definedName>
    <definedName name="RES">'FORM3'!#REF!</definedName>
    <definedName name="RIP">'FORM3'!#REF!</definedName>
    <definedName name="SCELTA">'FORM3'!#REF!</definedName>
    <definedName name="SERBIC">'FORM3'!#REF!</definedName>
    <definedName name="SERCLORO">'FORM3'!#REF!</definedName>
    <definedName name="SEREPARTO">'FORM3'!#REF!</definedName>
    <definedName name="SERMINUTI">'FORM3'!#REF!</definedName>
    <definedName name="SERNA">'FORM3'!#REF!</definedName>
    <definedName name="SERNOME">'FORM3'!#REF!</definedName>
    <definedName name="SERPCO2">'FORM3'!#REF!</definedName>
    <definedName name="SERPH">'FORM3'!#REF!</definedName>
    <definedName name="SERPO2">'FORM3'!#REF!</definedName>
    <definedName name="SERRCC">'FORM3'!#REF!</definedName>
    <definedName name="SERRORE">'FORM3'!#REF!</definedName>
    <definedName name="SERROSMP1">'FORM3'!#REF!</definedName>
    <definedName name="SERUIORA">'FORM3'!#REF!</definedName>
    <definedName name="SERUITOT">'FORM3'!#REF!</definedName>
    <definedName name="SESSO">'FORM3'!$E$26</definedName>
    <definedName name="SIADH">'FORM3'!#REF!</definedName>
    <definedName name="TABTAGLIA">'FORM3'!$I$78:$J$80</definedName>
    <definedName name="TAGLIA">'FORM3'!$E$27</definedName>
    <definedName name="TAGLIA2">'FORM3'!$C$44</definedName>
    <definedName name="TEMP">'FORM3'!#REF!</definedName>
    <definedName name="TEMPODIAL">'FORM3'!#REF!</definedName>
    <definedName name="TEMPOINTERD">'FORM3'!#REF!</definedName>
    <definedName name="UI_ORA">'FORM3'!#REF!</definedName>
    <definedName name="UI_TOT">'FORM3'!#REF!</definedName>
    <definedName name="UREAURIN">'FORM3'!#REF!</definedName>
    <definedName name="VOLUR1">'FORM3'!#REF!</definedName>
    <definedName name="VOLURINE">'FORM3'!#REF!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<sst xmlns="http://schemas.openxmlformats.org/spreadsheetml/2006/main" count="194" uniqueCount="95">
  <si>
    <t>Taglia</t>
  </si>
  <si>
    <t>Antropometria</t>
  </si>
  <si>
    <t>Peso                     =</t>
  </si>
  <si>
    <t>Altezza       cm.        =</t>
  </si>
  <si>
    <t>Eta'                     =</t>
  </si>
  <si>
    <t>Idice di Massa Corporea (BMI)</t>
  </si>
  <si>
    <t>Corrispondente a                   :</t>
  </si>
  <si>
    <t>Peso di Riferimento secondo:</t>
  </si>
  <si>
    <t>Broca</t>
  </si>
  <si>
    <t xml:space="preserve">       =</t>
  </si>
  <si>
    <t>Van Der Vael</t>
  </si>
  <si>
    <t>Bertheam</t>
  </si>
  <si>
    <t xml:space="preserve">Lorentz   </t>
  </si>
  <si>
    <t>Metropolitam Insurance   =</t>
  </si>
  <si>
    <t>tra Kg</t>
  </si>
  <si>
    <t xml:space="preserve">  e Kg</t>
  </si>
  <si>
    <t>Superficie corporea      =</t>
  </si>
  <si>
    <t>Media pesi di riferimento:</t>
  </si>
  <si>
    <t>Delta peso (in percento)</t>
  </si>
  <si>
    <t>BEE:</t>
  </si>
  <si>
    <t xml:space="preserve">  per </t>
  </si>
  <si>
    <t>Acqua corporea Kg (Hume)</t>
  </si>
  <si>
    <t xml:space="preserve">    Pari a</t>
  </si>
  <si>
    <t>% del PC eff</t>
  </si>
  <si>
    <t>Acq.Tot (peso rif) Kg</t>
  </si>
  <si>
    <t>% del Peso rif</t>
  </si>
  <si>
    <t>donne</t>
  </si>
  <si>
    <t>uomini</t>
  </si>
  <si>
    <t>piccola</t>
  </si>
  <si>
    <t>sottopeso</t>
  </si>
  <si>
    <t>media</t>
  </si>
  <si>
    <t>normale</t>
  </si>
  <si>
    <t>grande</t>
  </si>
  <si>
    <t>desiderabile</t>
  </si>
  <si>
    <t>sovrappeso</t>
  </si>
  <si>
    <t>obesa discreta</t>
  </si>
  <si>
    <t>obeso discreto</t>
  </si>
  <si>
    <t>obesa mostruosa</t>
  </si>
  <si>
    <t>obeso mostruoso</t>
  </si>
  <si>
    <t>statura</t>
  </si>
  <si>
    <t>nd</t>
  </si>
  <si>
    <t>Livelli di assunzione raccomandati</t>
  </si>
  <si>
    <t>Energia</t>
  </si>
  <si>
    <t>anni</t>
  </si>
  <si>
    <t>Protidi</t>
  </si>
  <si>
    <t>Lipidi</t>
  </si>
  <si>
    <t>Ca</t>
  </si>
  <si>
    <t>Fe</t>
  </si>
  <si>
    <t>femmine</t>
  </si>
  <si>
    <t>maschi</t>
  </si>
  <si>
    <t xml:space="preserve">     Livelli di Assunzione</t>
  </si>
  <si>
    <t>Raccomandati di Nutrienti/die</t>
  </si>
  <si>
    <t xml:space="preserve">    Energia  KCal</t>
  </si>
  <si>
    <t xml:space="preserve">    Proteine gr</t>
  </si>
  <si>
    <t xml:space="preserve">    Lipidi gr</t>
  </si>
  <si>
    <t xml:space="preserve">    Ca mg</t>
  </si>
  <si>
    <t xml:space="preserve">    Fe mg</t>
  </si>
  <si>
    <t>correz. %</t>
  </si>
  <si>
    <t>da apportare</t>
  </si>
  <si>
    <t>totale</t>
  </si>
  <si>
    <t>Razione calorica</t>
  </si>
  <si>
    <t>Kcal richieste</t>
  </si>
  <si>
    <t>Proteine richieste</t>
  </si>
  <si>
    <t xml:space="preserve">   equiv ad N gr</t>
  </si>
  <si>
    <t>percent %)</t>
  </si>
  <si>
    <t xml:space="preserve">   grammi</t>
  </si>
  <si>
    <t>Carboidrati</t>
  </si>
  <si>
    <t xml:space="preserve">  equiv a KCal</t>
  </si>
  <si>
    <t xml:space="preserve">Lipidi </t>
  </si>
  <si>
    <t>Proteine</t>
  </si>
  <si>
    <t>totale ----------------------------------------------------====</t>
  </si>
  <si>
    <t>Freamine II 8.5%</t>
  </si>
  <si>
    <t>cc equival a</t>
  </si>
  <si>
    <t>gr N</t>
  </si>
  <si>
    <t>Glucosio 33% cc</t>
  </si>
  <si>
    <t>cc eq a KCal</t>
  </si>
  <si>
    <t>e gr</t>
  </si>
  <si>
    <t>Glucosio 50% cc</t>
  </si>
  <si>
    <t>Glucosio 20% cc</t>
  </si>
  <si>
    <t>Intralipid 10%</t>
  </si>
  <si>
    <t>Intralipid 20%</t>
  </si>
  <si>
    <t>Osmol</t>
  </si>
  <si>
    <t>KCal</t>
  </si>
  <si>
    <t>gr N = prot</t>
  </si>
  <si>
    <t xml:space="preserve">Totali: </t>
  </si>
  <si>
    <t>Dr. G. Quintaliani</t>
  </si>
  <si>
    <t>Sesso</t>
  </si>
  <si>
    <t>Procedura ed elaborazione</t>
  </si>
  <si>
    <t>Ambulatorio di Nefrologia di:</t>
  </si>
  <si>
    <t>Pinco Pallino</t>
  </si>
  <si>
    <t>Rossi Maria</t>
  </si>
  <si>
    <t>Taglia (1,2,3)</t>
  </si>
  <si>
    <t>m</t>
  </si>
  <si>
    <t>by Renalgate.it</t>
  </si>
  <si>
    <t xml:space="preserve">by 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</si>
</sst>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dd\-mmm\-yy_)"/>
    <numFmt numFmtId="165" formatCode="0.0_)"/>
    <numFmt numFmtId="166" formatCode="0_)"/>
    <numFmt numFmtId="167" formatCode="0.00_)"/>
    <numFmt numFmtId="168" formatCode="0.0000"/>
    <numFmt numFmtId="169" formatCode="0.000"/>
    <numFmt numFmtId="170" formatCode="0.0000000"/>
    <numFmt numFmtId="171" formatCode="0.000000"/>
    <numFmt numFmtId="172" formatCode="0.00000"/>
    <numFmt numFmtId="173" formatCode="0.00000000"/>
  </numFmts>
  <fonts count="10">
    <font>
      <sz val="10"/>
      <name val="Courier"/>
      <family val="0"/>
    </font>
    <font>
      <sz val="10"/>
      <name val="Arial"/>
      <family val="0"/>
    </font>
    <font>
      <b/>
      <sz val="10"/>
      <color indexed="10"/>
      <name val="Courier"/>
      <family val="3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12"/>
      <color indexed="12"/>
      <name val="Arial"/>
      <family val="2"/>
    </font>
    <font>
      <b/>
      <sz val="11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3" borderId="0" xfId="0" applyFont="1" applyFill="1" applyAlignment="1" applyProtection="1">
      <alignment/>
      <protection locked="0"/>
    </xf>
    <xf numFmtId="0" fontId="2" fillId="3" borderId="0" xfId="0" applyFont="1" applyFill="1" applyAlignment="1" applyProtection="1">
      <alignment/>
      <protection locked="0"/>
    </xf>
    <xf numFmtId="0" fontId="3" fillId="3" borderId="0" xfId="0" applyFont="1" applyFill="1" applyAlignment="1" applyProtection="1">
      <alignment horizontal="center"/>
      <protection locked="0"/>
    </xf>
    <xf numFmtId="0" fontId="3" fillId="3" borderId="0" xfId="0" applyFont="1" applyFill="1" applyAlignment="1" applyProtection="1">
      <alignment/>
      <protection locked="0"/>
    </xf>
    <xf numFmtId="0" fontId="6" fillId="0" borderId="0" xfId="15" applyFont="1" applyAlignment="1">
      <alignment horizontal="center"/>
    </xf>
    <xf numFmtId="0" fontId="8" fillId="0" borderId="0" xfId="15" applyFont="1" applyAlignment="1">
      <alignment horizontal="center"/>
    </xf>
    <xf numFmtId="0" fontId="9" fillId="0" borderId="0" xfId="0" applyFont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quintaliani@renalgate.it" TargetMode="External" /><Relationship Id="rId2" Type="http://schemas.openxmlformats.org/officeDocument/2006/relationships/hyperlink" Target="http://www.renalgate.it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 transitionEvaluation="1"/>
  <dimension ref="B1:R212"/>
  <sheetViews>
    <sheetView tabSelected="1" zoomScale="75" zoomScaleNormal="75" workbookViewId="0" topLeftCell="A1">
      <selection activeCell="Q5" sqref="Q5"/>
    </sheetView>
  </sheetViews>
  <sheetFormatPr defaultColWidth="9.625" defaultRowHeight="12.75"/>
  <cols>
    <col min="2" max="3" width="0" style="0" hidden="1" customWidth="1"/>
    <col min="4" max="4" width="12.75390625" style="0" hidden="1" customWidth="1"/>
    <col min="5" max="7" width="11.625" style="0" hidden="1" customWidth="1"/>
    <col min="8" max="11" width="9.625" style="0" hidden="1" customWidth="1"/>
  </cols>
  <sheetData>
    <row r="1" ht="15.75">
      <c r="O1" s="18" t="s">
        <v>87</v>
      </c>
    </row>
    <row r="2" ht="15">
      <c r="O2" s="16" t="s">
        <v>85</v>
      </c>
    </row>
    <row r="3" ht="15">
      <c r="O3" s="9" t="s">
        <v>94</v>
      </c>
    </row>
    <row r="4" ht="15.75">
      <c r="O4" s="17" t="s">
        <v>93</v>
      </c>
    </row>
    <row r="9" spans="12:15" ht="15">
      <c r="L9" t="s">
        <v>88</v>
      </c>
      <c r="O9" s="11" t="s">
        <v>89</v>
      </c>
    </row>
    <row r="12" spans="12:14" ht="15">
      <c r="L12" t="str">
        <f>IF(O26="F","Sig.ra","Sig")</f>
        <v>Sig</v>
      </c>
      <c r="N12" s="12" t="s">
        <v>90</v>
      </c>
    </row>
    <row r="17" spans="2:12" ht="15">
      <c r="B17" s="1" t="s">
        <v>1</v>
      </c>
      <c r="L17" s="1" t="s">
        <v>1</v>
      </c>
    </row>
    <row r="23" spans="2:15" ht="15">
      <c r="B23" s="1" t="s">
        <v>2</v>
      </c>
      <c r="E23" s="6">
        <f>O23</f>
        <v>70</v>
      </c>
      <c r="L23" s="1" t="s">
        <v>2</v>
      </c>
      <c r="O23" s="13">
        <v>70</v>
      </c>
    </row>
    <row r="24" spans="2:15" ht="15">
      <c r="B24" s="1" t="s">
        <v>3</v>
      </c>
      <c r="E24" s="6">
        <f>O24</f>
        <v>180</v>
      </c>
      <c r="L24" s="1" t="s">
        <v>3</v>
      </c>
      <c r="O24" s="13">
        <v>180</v>
      </c>
    </row>
    <row r="25" spans="2:15" ht="15">
      <c r="B25" s="1" t="s">
        <v>4</v>
      </c>
      <c r="E25" s="6">
        <f>O25</f>
        <v>45</v>
      </c>
      <c r="L25" s="1" t="s">
        <v>4</v>
      </c>
      <c r="O25" s="13">
        <v>45</v>
      </c>
    </row>
    <row r="26" spans="2:15" ht="15">
      <c r="B26" t="s">
        <v>86</v>
      </c>
      <c r="E26" s="6" t="str">
        <f>O26</f>
        <v>m</v>
      </c>
      <c r="L26" t="s">
        <v>86</v>
      </c>
      <c r="O26" s="14" t="s">
        <v>92</v>
      </c>
    </row>
    <row r="27" spans="2:15" ht="15">
      <c r="B27" s="7" t="s">
        <v>0</v>
      </c>
      <c r="E27" s="6">
        <f>O27</f>
        <v>3</v>
      </c>
      <c r="L27" s="7" t="s">
        <v>91</v>
      </c>
      <c r="O27" s="15">
        <v>3</v>
      </c>
    </row>
    <row r="29" spans="2:16" ht="15">
      <c r="B29" s="1" t="s">
        <v>5</v>
      </c>
      <c r="F29" s="2">
        <f>(E23/(E24/100)^2)</f>
        <v>21.604938271604937</v>
      </c>
      <c r="L29" s="1" t="s">
        <v>5</v>
      </c>
      <c r="P29" s="8">
        <f>F29</f>
        <v>21.604938271604937</v>
      </c>
    </row>
    <row r="30" spans="2:16" ht="15">
      <c r="B30" s="1" t="s">
        <v>6</v>
      </c>
      <c r="F30" s="2" t="str">
        <f>IF(OR(E26="f",E26="F"),VLOOKUP(F29,B79:C85,2),VLOOKUP(F29,F79:G85,2))</f>
        <v>desiderabile</v>
      </c>
      <c r="L30" s="1" t="s">
        <v>6</v>
      </c>
      <c r="P30" s="8" t="str">
        <f>F30</f>
        <v>desiderabile</v>
      </c>
    </row>
    <row r="31" spans="2:12" ht="15">
      <c r="B31" s="1" t="s">
        <v>7</v>
      </c>
      <c r="L31" s="1" t="s">
        <v>7</v>
      </c>
    </row>
    <row r="32" spans="2:16" ht="15">
      <c r="B32" s="1" t="s">
        <v>8</v>
      </c>
      <c r="D32" s="1" t="s">
        <v>9</v>
      </c>
      <c r="F32" s="5">
        <f>E24-100</f>
        <v>80</v>
      </c>
      <c r="L32" s="1" t="s">
        <v>8</v>
      </c>
      <c r="N32" s="1" t="s">
        <v>9</v>
      </c>
      <c r="P32" s="8">
        <f aca="true" t="shared" si="0" ref="P32:P37">F32</f>
        <v>80</v>
      </c>
    </row>
    <row r="33" spans="2:16" ht="15">
      <c r="B33" s="1" t="s">
        <v>10</v>
      </c>
      <c r="D33" s="1" t="s">
        <v>9</v>
      </c>
      <c r="F33" s="5">
        <f>50+(E24-150)*0.75</f>
        <v>72.5</v>
      </c>
      <c r="L33" s="1" t="s">
        <v>10</v>
      </c>
      <c r="N33" s="1" t="s">
        <v>9</v>
      </c>
      <c r="P33" s="8">
        <f t="shared" si="0"/>
        <v>72.5</v>
      </c>
    </row>
    <row r="34" spans="2:16" ht="15">
      <c r="B34" s="1" t="s">
        <v>11</v>
      </c>
      <c r="D34" s="1" t="s">
        <v>9</v>
      </c>
      <c r="F34" s="5">
        <f>0.8*(E24-100)+E25/2</f>
        <v>86.5</v>
      </c>
      <c r="L34" s="1" t="s">
        <v>11</v>
      </c>
      <c r="N34" s="1" t="s">
        <v>9</v>
      </c>
      <c r="P34" s="8">
        <f t="shared" si="0"/>
        <v>86.5</v>
      </c>
    </row>
    <row r="35" spans="2:16" ht="15">
      <c r="B35" s="1" t="s">
        <v>12</v>
      </c>
      <c r="D35" s="1" t="s">
        <v>9</v>
      </c>
      <c r="F35" s="5">
        <f>IF(E26="m",E24-100-((E24-150)/4),E24-100-((E24-150)/2))</f>
        <v>72.5</v>
      </c>
      <c r="L35" s="1" t="s">
        <v>12</v>
      </c>
      <c r="N35" s="1" t="s">
        <v>9</v>
      </c>
      <c r="P35" s="8">
        <f t="shared" si="0"/>
        <v>72.5</v>
      </c>
    </row>
    <row r="36" spans="2:18" ht="15">
      <c r="B36" s="1" t="s">
        <v>13</v>
      </c>
      <c r="E36" s="1" t="s">
        <v>14</v>
      </c>
      <c r="F36" s="2">
        <f>IF(OR(E26="f",E26="F"),VLOOKUP(E24,B106:H121,G124+1),VLOOKUP(E24,B90:H105,G124+1))</f>
        <v>71.7</v>
      </c>
      <c r="G36" s="1" t="s">
        <v>15</v>
      </c>
      <c r="H36" s="2">
        <f>IF(OR(E26="f",E26="F"),VLOOKUP(E24,B106:H121,G124+1+1),VLOOKUP(E24,B90:H105,G124+1+1))</f>
        <v>81.6</v>
      </c>
      <c r="L36" s="1" t="s">
        <v>13</v>
      </c>
      <c r="O36" s="10" t="s">
        <v>14</v>
      </c>
      <c r="P36" s="8">
        <f t="shared" si="0"/>
        <v>71.7</v>
      </c>
      <c r="Q36" s="10" t="s">
        <v>15</v>
      </c>
      <c r="R36" s="8">
        <f>H36</f>
        <v>81.6</v>
      </c>
    </row>
    <row r="37" spans="2:16" ht="15">
      <c r="B37" s="1" t="s">
        <v>16</v>
      </c>
      <c r="F37" s="2">
        <f>(E23^0.425*E24^0.725*71.84)/10000</f>
        <v>1.8862773804080821</v>
      </c>
      <c r="L37" s="1" t="s">
        <v>16</v>
      </c>
      <c r="P37" s="8">
        <f t="shared" si="0"/>
        <v>1.8862773804080821</v>
      </c>
    </row>
    <row r="39" spans="2:15" ht="15">
      <c r="B39" s="1" t="s">
        <v>17</v>
      </c>
      <c r="E39" s="2">
        <f>((F36+H36)/2+AVERAGE(F32:F36))/2</f>
        <v>76.64500000000001</v>
      </c>
      <c r="L39" s="1" t="s">
        <v>17</v>
      </c>
      <c r="O39" s="8">
        <f>E39</f>
        <v>76.64500000000001</v>
      </c>
    </row>
    <row r="40" spans="2:15" ht="15">
      <c r="B40" s="1" t="s">
        <v>18</v>
      </c>
      <c r="E40" s="2">
        <f>(100*E23/E39)-100</f>
        <v>-8.66984147693914</v>
      </c>
      <c r="L40" s="1" t="s">
        <v>18</v>
      </c>
      <c r="O40" s="8">
        <f>E40</f>
        <v>-8.66984147693914</v>
      </c>
    </row>
    <row r="42" spans="2:15" ht="15">
      <c r="B42" s="1" t="s">
        <v>19</v>
      </c>
      <c r="C42" s="2">
        <f>IF(OR(E26="m",E26="M"),66.473+(13.752*E23)+(5.003*E24)-(6.755*E25),655.096+(9.563*E23)+(1.85*E24)-(4.676*E25))</f>
        <v>1625.6779999999999</v>
      </c>
      <c r="D42" s="1" t="s">
        <v>20</v>
      </c>
      <c r="E42" s="2" t="str">
        <f>IF(OR(E26="m",E26="M"),"Maschi","Femmine")</f>
        <v>Maschi</v>
      </c>
      <c r="L42" s="1" t="s">
        <v>19</v>
      </c>
      <c r="M42" s="8">
        <f>C42</f>
        <v>1625.6779999999999</v>
      </c>
      <c r="N42" s="1" t="s">
        <v>20</v>
      </c>
      <c r="O42" s="8" t="str">
        <f>E42</f>
        <v>Maschi</v>
      </c>
    </row>
    <row r="44" spans="2:13" ht="15">
      <c r="B44" s="1" t="s">
        <v>0</v>
      </c>
      <c r="C44" s="2" t="str">
        <f>VLOOKUP(E27,I78:J80,2)</f>
        <v>grande</v>
      </c>
      <c r="L44" s="1" t="s">
        <v>0</v>
      </c>
      <c r="M44" s="8" t="str">
        <f>C44</f>
        <v>grande</v>
      </c>
    </row>
    <row r="45" spans="2:18" ht="15">
      <c r="B45" s="1" t="s">
        <v>21</v>
      </c>
      <c r="E45" s="2">
        <f>IF(OR(E26="m",E26="M"),0.297*E23+0.195*E24-14.012,0.184*E23+0.345*E24-35.27)</f>
        <v>41.878</v>
      </c>
      <c r="F45" s="1" t="s">
        <v>22</v>
      </c>
      <c r="G45" s="2">
        <f>E45*100/E23</f>
        <v>59.82571428571429</v>
      </c>
      <c r="H45" s="1" t="s">
        <v>23</v>
      </c>
      <c r="L45" s="1" t="s">
        <v>21</v>
      </c>
      <c r="O45" s="8">
        <f>E45</f>
        <v>41.878</v>
      </c>
      <c r="P45" s="1" t="s">
        <v>22</v>
      </c>
      <c r="Q45" s="8">
        <f>G45</f>
        <v>59.82571428571429</v>
      </c>
      <c r="R45" s="1" t="s">
        <v>23</v>
      </c>
    </row>
    <row r="46" spans="2:18" ht="15">
      <c r="B46" s="3" t="s">
        <v>24</v>
      </c>
      <c r="E46" s="2">
        <f>IF(OR(E26="m",E26="M"),0.297*E39+0.195*E24-14.012,0.184*E39+0.345*E24-35.27)</f>
        <v>43.85156500000001</v>
      </c>
      <c r="F46" s="1" t="s">
        <v>22</v>
      </c>
      <c r="G46" s="2">
        <f>E46*100/E39</f>
        <v>57.21386261334725</v>
      </c>
      <c r="H46" s="1" t="s">
        <v>25</v>
      </c>
      <c r="L46" s="3" t="s">
        <v>24</v>
      </c>
      <c r="O46" s="8">
        <f>E46</f>
        <v>43.85156500000001</v>
      </c>
      <c r="P46" s="1" t="s">
        <v>22</v>
      </c>
      <c r="Q46" s="8">
        <f>G46</f>
        <v>57.21386261334725</v>
      </c>
      <c r="R46" s="1" t="s">
        <v>25</v>
      </c>
    </row>
    <row r="47" spans="7:18" ht="15">
      <c r="G47" s="2">
        <f>E46*100/E23</f>
        <v>62.64509285714287</v>
      </c>
      <c r="H47" s="1" t="s">
        <v>23</v>
      </c>
      <c r="Q47" s="8">
        <f>G47</f>
        <v>62.64509285714287</v>
      </c>
      <c r="R47" s="1" t="s">
        <v>23</v>
      </c>
    </row>
    <row r="48" spans="7:18" ht="15">
      <c r="G48" s="2"/>
      <c r="H48" s="1"/>
      <c r="Q48" s="2"/>
      <c r="R48" s="1"/>
    </row>
    <row r="49" spans="2:18" ht="15">
      <c r="B49" s="1" t="s">
        <v>50</v>
      </c>
      <c r="D49" s="1" t="s">
        <v>51</v>
      </c>
      <c r="G49" s="2"/>
      <c r="H49" s="1"/>
      <c r="L49" s="1" t="s">
        <v>50</v>
      </c>
      <c r="N49" s="1" t="s">
        <v>51</v>
      </c>
      <c r="Q49" s="2"/>
      <c r="R49" s="1"/>
    </row>
    <row r="50" spans="7:18" ht="15">
      <c r="G50" s="2"/>
      <c r="H50" s="1"/>
      <c r="Q50" s="2"/>
      <c r="R50" s="1"/>
    </row>
    <row r="51" spans="2:18" ht="15">
      <c r="B51" s="1" t="s">
        <v>52</v>
      </c>
      <c r="D51" s="2">
        <f>IF(OR(E26="m",E26="M"),VLOOKUP(E25,B156:G165,2),VLOOKUP(E25,B139:G148,2))</f>
        <v>2850</v>
      </c>
      <c r="G51" s="2"/>
      <c r="H51" s="1"/>
      <c r="L51" s="1" t="s">
        <v>52</v>
      </c>
      <c r="N51" s="8">
        <f>D51</f>
        <v>2850</v>
      </c>
      <c r="Q51" s="2"/>
      <c r="R51" s="1"/>
    </row>
    <row r="52" spans="2:18" ht="15">
      <c r="B52" s="1" t="s">
        <v>53</v>
      </c>
      <c r="D52" s="2">
        <f>IF(OR(E26="m",E26="M"),VLOOKUP(E25,B156:G165,3),VLOOKUP(E25,B139:G148,3))</f>
        <v>64</v>
      </c>
      <c r="G52" s="2"/>
      <c r="H52" s="1"/>
      <c r="L52" s="1" t="s">
        <v>53</v>
      </c>
      <c r="N52" s="8">
        <f>D52</f>
        <v>64</v>
      </c>
      <c r="Q52" s="2"/>
      <c r="R52" s="1"/>
    </row>
    <row r="53" spans="2:18" ht="15">
      <c r="B53" s="1" t="s">
        <v>54</v>
      </c>
      <c r="D53" s="2">
        <f>IF(OR(E26="m",E26="M"),VLOOKUP(E25,B156:G165,4),VLOOKUP(E25,B139:G148,4))</f>
        <v>79</v>
      </c>
      <c r="G53" s="2"/>
      <c r="H53" s="1"/>
      <c r="L53" s="1" t="s">
        <v>54</v>
      </c>
      <c r="N53" s="8">
        <f>D53</f>
        <v>79</v>
      </c>
      <c r="Q53" s="2"/>
      <c r="R53" s="1"/>
    </row>
    <row r="54" spans="2:18" ht="15">
      <c r="B54" s="1" t="s">
        <v>55</v>
      </c>
      <c r="D54" s="2">
        <f>IF(OR(E26="m",E26="M"),VLOOKUP(E25,B156:G165,5),VLOOKUP(E25,B139:G148,5))</f>
        <v>500</v>
      </c>
      <c r="G54" s="2"/>
      <c r="H54" s="1"/>
      <c r="L54" s="1" t="s">
        <v>55</v>
      </c>
      <c r="N54" s="8">
        <f>D54</f>
        <v>500</v>
      </c>
      <c r="Q54" s="2"/>
      <c r="R54" s="1"/>
    </row>
    <row r="55" spans="2:18" ht="15">
      <c r="B55" s="1" t="s">
        <v>56</v>
      </c>
      <c r="D55" s="2">
        <f>IF(OR(E26="m",E26="M"),VLOOKUP(E25,B156:G165,6),VLOOKUP(E25,B139:G148,6))</f>
        <v>10</v>
      </c>
      <c r="G55" s="2"/>
      <c r="H55" s="1"/>
      <c r="L55" s="1" t="s">
        <v>56</v>
      </c>
      <c r="N55" s="8">
        <f>D55</f>
        <v>10</v>
      </c>
      <c r="Q55" s="2"/>
      <c r="R55" s="1"/>
    </row>
    <row r="56" spans="7:8" ht="15">
      <c r="G56" s="2"/>
      <c r="H56" s="1"/>
    </row>
    <row r="57" spans="7:8" ht="15">
      <c r="G57" s="2"/>
      <c r="H57" s="1"/>
    </row>
    <row r="58" spans="7:8" ht="15">
      <c r="G58" s="2"/>
      <c r="H58" s="1"/>
    </row>
    <row r="59" spans="7:8" ht="15">
      <c r="G59" s="2"/>
      <c r="H59" s="1"/>
    </row>
    <row r="60" spans="7:8" ht="15">
      <c r="G60" s="2"/>
      <c r="H60" s="1"/>
    </row>
    <row r="61" spans="7:8" ht="15">
      <c r="G61" s="2"/>
      <c r="H61" s="1"/>
    </row>
    <row r="62" spans="7:8" ht="15">
      <c r="G62" s="2"/>
      <c r="H62" s="1"/>
    </row>
    <row r="63" spans="7:8" ht="15">
      <c r="G63" s="2"/>
      <c r="H63" s="1"/>
    </row>
    <row r="64" spans="7:8" ht="15">
      <c r="G64" s="2"/>
      <c r="H64" s="1"/>
    </row>
    <row r="65" spans="7:8" ht="15">
      <c r="G65" s="2"/>
      <c r="H65" s="1"/>
    </row>
    <row r="66" spans="7:8" ht="15">
      <c r="G66" s="2"/>
      <c r="H66" s="1"/>
    </row>
    <row r="67" spans="7:8" ht="15">
      <c r="G67" s="2"/>
      <c r="H67" s="1"/>
    </row>
    <row r="68" spans="7:8" ht="15">
      <c r="G68" s="2"/>
      <c r="H68" s="1"/>
    </row>
    <row r="69" spans="7:8" ht="15">
      <c r="G69" s="2"/>
      <c r="H69" s="1"/>
    </row>
    <row r="70" spans="7:8" ht="15">
      <c r="G70" s="2"/>
      <c r="H70" s="1"/>
    </row>
    <row r="71" spans="7:8" ht="15">
      <c r="G71" s="2"/>
      <c r="H71" s="1"/>
    </row>
    <row r="72" spans="7:8" ht="15">
      <c r="G72" s="2"/>
      <c r="H72" s="1"/>
    </row>
    <row r="77" ht="15">
      <c r="E77" s="2"/>
    </row>
    <row r="78" spans="3:10" ht="15">
      <c r="C78" s="1" t="s">
        <v>26</v>
      </c>
      <c r="E78" s="2">
        <f>((F36+H36)/2+AVERAGE(F32:F36))/2</f>
        <v>76.64500000000001</v>
      </c>
      <c r="G78" s="1" t="s">
        <v>27</v>
      </c>
      <c r="I78" s="2">
        <v>1</v>
      </c>
      <c r="J78" s="1" t="s">
        <v>28</v>
      </c>
    </row>
    <row r="79" spans="2:10" ht="15">
      <c r="B79" s="2">
        <v>1</v>
      </c>
      <c r="C79" s="1" t="s">
        <v>29</v>
      </c>
      <c r="F79" s="2">
        <v>1</v>
      </c>
      <c r="G79" s="1" t="s">
        <v>29</v>
      </c>
      <c r="I79" s="2">
        <v>2</v>
      </c>
      <c r="J79" s="1" t="s">
        <v>30</v>
      </c>
    </row>
    <row r="80" spans="2:10" ht="15">
      <c r="B80" s="2">
        <v>17</v>
      </c>
      <c r="C80" s="1" t="s">
        <v>31</v>
      </c>
      <c r="F80" s="2">
        <v>18</v>
      </c>
      <c r="G80" s="1" t="s">
        <v>31</v>
      </c>
      <c r="I80" s="2">
        <v>3</v>
      </c>
      <c r="J80" s="1" t="s">
        <v>32</v>
      </c>
    </row>
    <row r="81" spans="2:7" ht="15">
      <c r="B81" s="2">
        <v>19</v>
      </c>
      <c r="C81" s="1" t="s">
        <v>33</v>
      </c>
      <c r="F81" s="2">
        <v>20</v>
      </c>
      <c r="G81" s="1" t="s">
        <v>33</v>
      </c>
    </row>
    <row r="82" spans="2:7" ht="15">
      <c r="B82" s="2">
        <v>23</v>
      </c>
      <c r="C82" s="1" t="s">
        <v>34</v>
      </c>
      <c r="F82" s="2">
        <v>26</v>
      </c>
      <c r="G82" s="1" t="s">
        <v>34</v>
      </c>
    </row>
    <row r="83" spans="2:7" ht="15">
      <c r="B83" s="2">
        <v>29</v>
      </c>
      <c r="C83" s="1" t="s">
        <v>35</v>
      </c>
      <c r="F83" s="2">
        <v>30</v>
      </c>
      <c r="G83" s="1" t="s">
        <v>36</v>
      </c>
    </row>
    <row r="84" spans="2:7" ht="15">
      <c r="B84" s="2">
        <v>40</v>
      </c>
      <c r="C84" s="1" t="s">
        <v>37</v>
      </c>
      <c r="F84" s="2">
        <v>45</v>
      </c>
      <c r="G84" s="1" t="s">
        <v>38</v>
      </c>
    </row>
    <row r="85" spans="2:7" ht="15">
      <c r="B85" s="2">
        <v>100</v>
      </c>
      <c r="F85" s="2">
        <v>100</v>
      </c>
      <c r="G85" s="1" t="s">
        <v>38</v>
      </c>
    </row>
    <row r="89" spans="2:7" ht="15">
      <c r="B89" s="1" t="s">
        <v>39</v>
      </c>
      <c r="C89" s="1" t="s">
        <v>28</v>
      </c>
      <c r="E89" s="1" t="s">
        <v>30</v>
      </c>
      <c r="G89" s="1" t="s">
        <v>32</v>
      </c>
    </row>
    <row r="90" spans="3:8" ht="15">
      <c r="C90" s="3" t="s">
        <v>40</v>
      </c>
      <c r="D90" s="3" t="s">
        <v>40</v>
      </c>
      <c r="E90" s="3" t="s">
        <v>40</v>
      </c>
      <c r="F90" s="3" t="s">
        <v>40</v>
      </c>
      <c r="G90" s="3" t="s">
        <v>40</v>
      </c>
      <c r="H90" s="3" t="s">
        <v>40</v>
      </c>
    </row>
    <row r="91" spans="2:8" ht="15">
      <c r="B91" s="2">
        <v>157.5</v>
      </c>
      <c r="C91" s="2">
        <v>58.1</v>
      </c>
      <c r="D91" s="2">
        <v>60.8</v>
      </c>
      <c r="E91" s="2">
        <v>59.4</v>
      </c>
      <c r="F91" s="2">
        <v>64</v>
      </c>
      <c r="G91" s="2">
        <v>62.6</v>
      </c>
      <c r="H91" s="2">
        <v>68</v>
      </c>
    </row>
    <row r="92" spans="2:8" ht="15">
      <c r="B92" s="2">
        <v>160</v>
      </c>
      <c r="C92" s="2">
        <v>59</v>
      </c>
      <c r="D92" s="2">
        <v>61.7</v>
      </c>
      <c r="E92" s="2">
        <v>60.3</v>
      </c>
      <c r="F92" s="2">
        <v>64.9</v>
      </c>
      <c r="G92" s="2">
        <v>63.5</v>
      </c>
      <c r="H92" s="2">
        <v>69.4</v>
      </c>
    </row>
    <row r="93" spans="2:8" ht="15">
      <c r="B93" s="2">
        <v>162.5</v>
      </c>
      <c r="C93" s="2">
        <v>59.9</v>
      </c>
      <c r="D93" s="2">
        <v>62.6</v>
      </c>
      <c r="E93" s="2">
        <v>61.2</v>
      </c>
      <c r="F93" s="2">
        <v>65.8</v>
      </c>
      <c r="G93" s="2">
        <v>64.4</v>
      </c>
      <c r="H93" s="2">
        <v>70.8</v>
      </c>
    </row>
    <row r="94" spans="2:8" ht="15">
      <c r="B94" s="2">
        <v>165</v>
      </c>
      <c r="C94" s="2">
        <v>60.8</v>
      </c>
      <c r="D94" s="2">
        <v>63.5</v>
      </c>
      <c r="E94" s="2">
        <v>62.1</v>
      </c>
      <c r="F94" s="2">
        <v>67.1</v>
      </c>
      <c r="G94" s="2">
        <v>65.3</v>
      </c>
      <c r="H94" s="2">
        <v>72.6</v>
      </c>
    </row>
    <row r="95" spans="2:8" ht="15">
      <c r="B95" s="2">
        <v>167.5</v>
      </c>
      <c r="C95" s="2">
        <v>61.7</v>
      </c>
      <c r="D95" s="2">
        <v>64.4</v>
      </c>
      <c r="E95" s="2">
        <v>63</v>
      </c>
      <c r="F95" s="2">
        <v>68.5</v>
      </c>
      <c r="G95" s="2">
        <v>66.2</v>
      </c>
      <c r="H95" s="2">
        <v>74.4</v>
      </c>
    </row>
    <row r="96" spans="2:8" ht="15">
      <c r="B96" s="2">
        <v>170</v>
      </c>
      <c r="C96" s="2">
        <v>62.6</v>
      </c>
      <c r="D96" s="2">
        <v>65.8</v>
      </c>
      <c r="E96" s="2">
        <v>64.4</v>
      </c>
      <c r="F96" s="2">
        <v>69.8</v>
      </c>
      <c r="G96" s="2">
        <v>67.6</v>
      </c>
      <c r="H96" s="2">
        <v>76.2</v>
      </c>
    </row>
    <row r="97" spans="2:8" ht="15">
      <c r="B97" s="2">
        <v>172.5</v>
      </c>
      <c r="C97" s="2">
        <v>63.5</v>
      </c>
      <c r="D97" s="2">
        <v>67.1</v>
      </c>
      <c r="E97" s="2">
        <v>65.8</v>
      </c>
      <c r="F97" s="2">
        <v>71.2</v>
      </c>
      <c r="G97" s="2">
        <v>68.9</v>
      </c>
      <c r="H97" s="2">
        <v>78</v>
      </c>
    </row>
    <row r="98" spans="2:8" ht="15">
      <c r="B98" s="2">
        <v>175.5</v>
      </c>
      <c r="C98" s="2">
        <v>64.4</v>
      </c>
      <c r="D98" s="2">
        <v>68.5</v>
      </c>
      <c r="E98" s="2">
        <v>67.1</v>
      </c>
      <c r="F98" s="2">
        <v>72.6</v>
      </c>
      <c r="G98" s="2">
        <v>70.3</v>
      </c>
      <c r="H98" s="2">
        <v>79.8</v>
      </c>
    </row>
    <row r="99" spans="2:8" ht="15">
      <c r="B99" s="2">
        <v>178</v>
      </c>
      <c r="C99" s="2">
        <v>65.3</v>
      </c>
      <c r="D99" s="2">
        <v>69.8</v>
      </c>
      <c r="E99" s="2">
        <v>68.5</v>
      </c>
      <c r="F99" s="2">
        <v>73.9</v>
      </c>
      <c r="G99" s="2">
        <v>71.7</v>
      </c>
      <c r="H99" s="2">
        <v>81.6</v>
      </c>
    </row>
    <row r="100" spans="2:8" ht="15">
      <c r="B100" s="2">
        <v>180.5</v>
      </c>
      <c r="C100" s="2">
        <v>66.2</v>
      </c>
      <c r="D100" s="2">
        <v>71.2</v>
      </c>
      <c r="E100" s="2">
        <v>69.8</v>
      </c>
      <c r="F100" s="2">
        <v>75.3</v>
      </c>
      <c r="G100" s="2">
        <v>73</v>
      </c>
      <c r="H100" s="2">
        <v>83.5</v>
      </c>
    </row>
    <row r="101" spans="2:8" ht="15">
      <c r="B101" s="2">
        <v>183</v>
      </c>
      <c r="C101" s="2">
        <v>67.6</v>
      </c>
      <c r="D101" s="2">
        <v>72.6</v>
      </c>
      <c r="E101" s="2">
        <v>71.2</v>
      </c>
      <c r="F101" s="2">
        <v>77.1</v>
      </c>
      <c r="G101" s="2">
        <v>74.4</v>
      </c>
      <c r="H101" s="2">
        <v>85.3</v>
      </c>
    </row>
    <row r="102" spans="2:8" ht="15">
      <c r="B102" s="2">
        <v>185.5</v>
      </c>
      <c r="C102" s="2">
        <v>68.9</v>
      </c>
      <c r="D102" s="2">
        <v>74.4</v>
      </c>
      <c r="E102" s="2">
        <v>72.6</v>
      </c>
      <c r="F102" s="2">
        <v>78.9</v>
      </c>
      <c r="G102" s="2">
        <v>76.2</v>
      </c>
      <c r="H102" s="2">
        <v>87.1</v>
      </c>
    </row>
    <row r="103" spans="2:8" ht="15">
      <c r="B103" s="2">
        <v>188</v>
      </c>
      <c r="C103" s="2">
        <v>70.3</v>
      </c>
      <c r="D103" s="2">
        <v>76.2</v>
      </c>
      <c r="E103" s="2">
        <v>74.4</v>
      </c>
      <c r="F103" s="2">
        <v>80.7</v>
      </c>
      <c r="G103" s="2">
        <v>78</v>
      </c>
      <c r="H103" s="2">
        <v>89.4</v>
      </c>
    </row>
    <row r="104" spans="2:8" ht="15">
      <c r="B104" s="2">
        <v>190.5</v>
      </c>
      <c r="C104" s="2">
        <v>71.7</v>
      </c>
      <c r="D104" s="2">
        <v>78</v>
      </c>
      <c r="E104" s="2">
        <v>75.7</v>
      </c>
      <c r="F104" s="2">
        <v>82.5</v>
      </c>
      <c r="G104" s="2">
        <v>79.8</v>
      </c>
      <c r="H104" s="2">
        <v>91.6</v>
      </c>
    </row>
    <row r="105" spans="2:8" ht="15">
      <c r="B105" s="2">
        <v>193</v>
      </c>
      <c r="C105" s="2">
        <v>73.5</v>
      </c>
      <c r="D105" s="2">
        <v>79.8</v>
      </c>
      <c r="E105" s="2">
        <v>77.5</v>
      </c>
      <c r="F105" s="2">
        <v>84.8</v>
      </c>
      <c r="G105" s="2">
        <v>82.1</v>
      </c>
      <c r="H105" s="2">
        <v>93.9</v>
      </c>
    </row>
    <row r="106" spans="3:8" ht="15">
      <c r="C106" s="1" t="s">
        <v>40</v>
      </c>
      <c r="D106" s="1" t="s">
        <v>40</v>
      </c>
      <c r="E106" s="1" t="s">
        <v>40</v>
      </c>
      <c r="F106" s="1" t="s">
        <v>40</v>
      </c>
      <c r="G106" s="1" t="s">
        <v>40</v>
      </c>
      <c r="H106" s="1" t="s">
        <v>40</v>
      </c>
    </row>
    <row r="107" spans="2:8" ht="15">
      <c r="B107" s="2">
        <v>147.5</v>
      </c>
      <c r="C107" s="2">
        <v>46.3</v>
      </c>
      <c r="D107" s="2">
        <v>50.3</v>
      </c>
      <c r="E107" s="2">
        <v>49.4</v>
      </c>
      <c r="F107" s="2">
        <v>54.8</v>
      </c>
      <c r="G107" s="2">
        <v>53.5</v>
      </c>
      <c r="H107" s="2">
        <v>59.4</v>
      </c>
    </row>
    <row r="108" spans="2:8" ht="15">
      <c r="B108" s="2">
        <v>150</v>
      </c>
      <c r="C108" s="2">
        <v>46.7</v>
      </c>
      <c r="D108" s="2">
        <v>51.2</v>
      </c>
      <c r="E108" s="2">
        <v>50.3</v>
      </c>
      <c r="F108" s="2">
        <v>55.8</v>
      </c>
      <c r="G108" s="2">
        <v>54.4</v>
      </c>
      <c r="H108" s="2">
        <v>60.8</v>
      </c>
    </row>
    <row r="109" spans="2:8" ht="15">
      <c r="B109" s="2">
        <v>152.5</v>
      </c>
      <c r="C109" s="2">
        <v>47.2</v>
      </c>
      <c r="D109" s="2">
        <v>52.2</v>
      </c>
      <c r="E109" s="2">
        <v>51.2</v>
      </c>
      <c r="F109" s="2">
        <v>57.2</v>
      </c>
      <c r="G109" s="2">
        <v>55.3</v>
      </c>
      <c r="H109" s="2">
        <v>62.1</v>
      </c>
    </row>
    <row r="110" spans="2:8" ht="15">
      <c r="B110" s="2">
        <v>155</v>
      </c>
      <c r="C110" s="2">
        <v>48.1</v>
      </c>
      <c r="D110" s="2">
        <v>53.5</v>
      </c>
      <c r="E110" s="2">
        <v>52.2</v>
      </c>
      <c r="F110" s="2">
        <v>58.5</v>
      </c>
      <c r="G110" s="2">
        <v>56.7</v>
      </c>
      <c r="H110" s="2">
        <v>63.5</v>
      </c>
    </row>
    <row r="111" spans="2:8" ht="15">
      <c r="B111" s="2">
        <v>157.5</v>
      </c>
      <c r="C111" s="2">
        <v>49</v>
      </c>
      <c r="D111" s="2">
        <v>54.8</v>
      </c>
      <c r="E111" s="2">
        <v>53.5</v>
      </c>
      <c r="F111" s="2">
        <v>59.9</v>
      </c>
      <c r="G111" s="2">
        <v>58.1</v>
      </c>
      <c r="H111" s="2">
        <v>64.9</v>
      </c>
    </row>
    <row r="112" spans="2:8" ht="15">
      <c r="B112" s="2">
        <v>160</v>
      </c>
      <c r="C112" s="2">
        <v>50.3</v>
      </c>
      <c r="D112" s="2">
        <v>56.2</v>
      </c>
      <c r="E112" s="2">
        <v>54.8</v>
      </c>
      <c r="F112" s="2">
        <v>61.2</v>
      </c>
      <c r="G112" s="2">
        <v>59.4</v>
      </c>
      <c r="H112" s="2">
        <v>66.7</v>
      </c>
    </row>
    <row r="113" spans="2:8" ht="15">
      <c r="B113" s="2">
        <v>162.5</v>
      </c>
      <c r="C113" s="2">
        <v>51.7</v>
      </c>
      <c r="D113" s="2">
        <v>57.6</v>
      </c>
      <c r="E113" s="2">
        <v>56.2</v>
      </c>
      <c r="F113" s="2">
        <v>62.6</v>
      </c>
      <c r="G113" s="2">
        <v>60.8</v>
      </c>
      <c r="H113" s="2">
        <v>68.5</v>
      </c>
    </row>
    <row r="114" spans="2:8" ht="15">
      <c r="B114" s="2">
        <v>165</v>
      </c>
      <c r="C114" s="2">
        <v>53.1</v>
      </c>
      <c r="D114" s="2">
        <v>59</v>
      </c>
      <c r="E114" s="2">
        <v>57.6</v>
      </c>
      <c r="F114" s="2">
        <v>64</v>
      </c>
      <c r="G114" s="2">
        <v>62.1</v>
      </c>
      <c r="H114" s="2">
        <v>70.3</v>
      </c>
    </row>
    <row r="115" spans="2:8" ht="15">
      <c r="B115" s="2">
        <v>167.5</v>
      </c>
      <c r="C115" s="2">
        <v>54.4</v>
      </c>
      <c r="D115" s="2">
        <v>60.3</v>
      </c>
      <c r="E115" s="2">
        <v>59</v>
      </c>
      <c r="F115" s="2">
        <v>65.3</v>
      </c>
      <c r="G115" s="2">
        <v>63.5</v>
      </c>
      <c r="H115" s="2">
        <v>72.1</v>
      </c>
    </row>
    <row r="116" spans="2:8" ht="15">
      <c r="B116" s="2">
        <v>170</v>
      </c>
      <c r="C116" s="2">
        <v>55.8</v>
      </c>
      <c r="D116" s="2">
        <v>61.7</v>
      </c>
      <c r="E116" s="2">
        <v>60.3</v>
      </c>
      <c r="F116" s="2">
        <v>66.7</v>
      </c>
      <c r="G116" s="2">
        <v>64.9</v>
      </c>
      <c r="H116" s="2">
        <v>73.9</v>
      </c>
    </row>
    <row r="117" spans="2:8" ht="15">
      <c r="B117" s="2">
        <v>172.5</v>
      </c>
      <c r="C117" s="2">
        <v>57.2</v>
      </c>
      <c r="D117" s="2">
        <v>63</v>
      </c>
      <c r="E117" s="2">
        <v>61.7</v>
      </c>
      <c r="F117" s="2">
        <v>68</v>
      </c>
      <c r="G117" s="2">
        <v>66.2</v>
      </c>
      <c r="H117" s="2">
        <v>75.7</v>
      </c>
    </row>
    <row r="118" spans="2:8" ht="15">
      <c r="B118" s="2">
        <v>175.5</v>
      </c>
      <c r="C118" s="2">
        <v>58.5</v>
      </c>
      <c r="D118" s="2">
        <v>64.4</v>
      </c>
      <c r="E118" s="2">
        <v>63</v>
      </c>
      <c r="F118" s="2">
        <v>69.4</v>
      </c>
      <c r="G118" s="2">
        <v>67.6</v>
      </c>
      <c r="H118" s="2">
        <v>77.1</v>
      </c>
    </row>
    <row r="119" spans="2:8" ht="15">
      <c r="B119" s="2">
        <v>178</v>
      </c>
      <c r="C119" s="2">
        <v>59.9</v>
      </c>
      <c r="D119" s="2">
        <v>65.8</v>
      </c>
      <c r="E119" s="2">
        <v>64.4</v>
      </c>
      <c r="F119" s="2">
        <v>70.8</v>
      </c>
      <c r="G119" s="2">
        <v>68.9</v>
      </c>
      <c r="H119" s="2">
        <v>78.5</v>
      </c>
    </row>
    <row r="120" spans="2:8" ht="15">
      <c r="B120" s="2">
        <v>180.5</v>
      </c>
      <c r="C120" s="2">
        <v>61.2</v>
      </c>
      <c r="D120" s="2">
        <v>67.1</v>
      </c>
      <c r="E120" s="2">
        <v>65.8</v>
      </c>
      <c r="F120" s="2">
        <v>72.1</v>
      </c>
      <c r="G120" s="2">
        <v>70.3</v>
      </c>
      <c r="H120" s="2">
        <v>79.8</v>
      </c>
    </row>
    <row r="121" spans="2:8" ht="15">
      <c r="B121" s="2">
        <v>183</v>
      </c>
      <c r="C121" s="2">
        <v>62.6</v>
      </c>
      <c r="D121" s="2">
        <v>68.5</v>
      </c>
      <c r="E121" s="2">
        <v>67.1</v>
      </c>
      <c r="F121" s="2">
        <v>73.5</v>
      </c>
      <c r="G121" s="2">
        <v>71.7</v>
      </c>
      <c r="H121" s="2">
        <v>81.2</v>
      </c>
    </row>
    <row r="124" spans="3:7" ht="15">
      <c r="C124" s="1" t="s">
        <v>28</v>
      </c>
      <c r="D124" s="1" t="s">
        <v>30</v>
      </c>
      <c r="E124" s="1" t="s">
        <v>32</v>
      </c>
      <c r="G124" s="2">
        <f>IF(C44="ND",0,HLOOKUP(C44,C124:E125,2))</f>
        <v>5</v>
      </c>
    </row>
    <row r="125" spans="3:5" ht="15">
      <c r="C125" s="2">
        <v>1</v>
      </c>
      <c r="D125" s="2">
        <v>3</v>
      </c>
      <c r="E125" s="2">
        <v>5</v>
      </c>
    </row>
    <row r="129" ht="15">
      <c r="B129" s="1" t="s">
        <v>41</v>
      </c>
    </row>
    <row r="130" ht="15">
      <c r="B130" s="1" t="s">
        <v>42</v>
      </c>
    </row>
    <row r="131" ht="15">
      <c r="B131" s="1" t="s">
        <v>43</v>
      </c>
    </row>
    <row r="132" ht="15">
      <c r="B132" s="2">
        <v>1</v>
      </c>
    </row>
    <row r="133" ht="15">
      <c r="B133" s="2">
        <v>3</v>
      </c>
    </row>
    <row r="134" ht="15">
      <c r="B134" s="2">
        <v>6</v>
      </c>
    </row>
    <row r="135" ht="15">
      <c r="B135" s="2">
        <v>9</v>
      </c>
    </row>
    <row r="137" spans="4:7" ht="15">
      <c r="D137" s="1" t="s">
        <v>44</v>
      </c>
      <c r="E137" s="1" t="s">
        <v>45</v>
      </c>
      <c r="F137" s="1" t="s">
        <v>46</v>
      </c>
      <c r="G137" s="1" t="s">
        <v>47</v>
      </c>
    </row>
    <row r="138" ht="15">
      <c r="B138" s="1" t="s">
        <v>48</v>
      </c>
    </row>
    <row r="139" spans="2:3" ht="15">
      <c r="B139" s="2">
        <v>1</v>
      </c>
      <c r="C139" s="1" t="s">
        <v>40</v>
      </c>
    </row>
    <row r="140" spans="2:3" ht="15">
      <c r="B140" s="2">
        <v>9</v>
      </c>
      <c r="C140" s="1" t="s">
        <v>40</v>
      </c>
    </row>
    <row r="141" spans="2:7" ht="15">
      <c r="B141" s="2">
        <v>10</v>
      </c>
      <c r="C141" s="2">
        <v>2300</v>
      </c>
      <c r="D141" s="2">
        <v>56</v>
      </c>
      <c r="E141" s="2">
        <v>77</v>
      </c>
      <c r="F141" s="2">
        <v>700</v>
      </c>
      <c r="G141" s="2">
        <v>18</v>
      </c>
    </row>
    <row r="142" spans="2:7" ht="15">
      <c r="B142" s="2">
        <v>13</v>
      </c>
      <c r="C142" s="2">
        <v>2500</v>
      </c>
      <c r="D142" s="2">
        <v>59</v>
      </c>
      <c r="E142" s="2">
        <v>83</v>
      </c>
      <c r="F142" s="2">
        <v>700</v>
      </c>
      <c r="G142" s="2">
        <v>18</v>
      </c>
    </row>
    <row r="143" spans="2:7" ht="15">
      <c r="B143" s="2">
        <v>16</v>
      </c>
      <c r="C143" s="2">
        <v>2300</v>
      </c>
      <c r="D143" s="2">
        <v>54</v>
      </c>
      <c r="E143" s="2">
        <v>77</v>
      </c>
      <c r="F143" s="2">
        <v>700</v>
      </c>
      <c r="G143" s="2">
        <v>18</v>
      </c>
    </row>
    <row r="144" spans="2:7" ht="15">
      <c r="B144" s="2">
        <v>20</v>
      </c>
      <c r="C144" s="2">
        <v>2160</v>
      </c>
      <c r="D144" s="2">
        <v>53</v>
      </c>
      <c r="E144" s="2">
        <v>60</v>
      </c>
      <c r="F144" s="2">
        <v>600</v>
      </c>
      <c r="G144" s="2">
        <v>18</v>
      </c>
    </row>
    <row r="145" spans="2:7" ht="15">
      <c r="B145" s="2">
        <v>40</v>
      </c>
      <c r="C145" s="2">
        <v>2050</v>
      </c>
      <c r="D145" s="2">
        <v>53</v>
      </c>
      <c r="E145" s="2">
        <v>57</v>
      </c>
      <c r="F145" s="2">
        <v>500</v>
      </c>
      <c r="G145" s="2">
        <v>18</v>
      </c>
    </row>
    <row r="146" spans="2:7" ht="15">
      <c r="B146" s="2">
        <v>50</v>
      </c>
      <c r="C146" s="2">
        <v>1940</v>
      </c>
      <c r="D146" s="2">
        <v>53</v>
      </c>
      <c r="E146" s="2">
        <v>54</v>
      </c>
      <c r="F146" s="2">
        <v>500</v>
      </c>
      <c r="G146" s="2">
        <v>10</v>
      </c>
    </row>
    <row r="147" spans="2:7" ht="15">
      <c r="B147" s="2">
        <v>60</v>
      </c>
      <c r="C147" s="2">
        <v>1730</v>
      </c>
      <c r="D147" s="2">
        <v>53</v>
      </c>
      <c r="E147" s="2">
        <v>48</v>
      </c>
      <c r="F147" s="2">
        <v>500</v>
      </c>
      <c r="G147" s="2">
        <v>10</v>
      </c>
    </row>
    <row r="148" spans="2:7" ht="15">
      <c r="B148" s="2">
        <v>70</v>
      </c>
      <c r="C148" s="2">
        <v>1510</v>
      </c>
      <c r="D148" s="2">
        <v>53</v>
      </c>
      <c r="E148" s="2">
        <v>42</v>
      </c>
      <c r="F148" s="2">
        <v>500</v>
      </c>
      <c r="G148" s="2">
        <v>10</v>
      </c>
    </row>
    <row r="155" ht="15">
      <c r="B155" s="1" t="s">
        <v>49</v>
      </c>
    </row>
    <row r="156" spans="2:3" ht="15">
      <c r="B156" s="2">
        <v>1</v>
      </c>
      <c r="C156" s="1" t="s">
        <v>40</v>
      </c>
    </row>
    <row r="157" spans="2:3" ht="15">
      <c r="B157" s="2">
        <v>9</v>
      </c>
      <c r="C157" s="1" t="s">
        <v>40</v>
      </c>
    </row>
    <row r="158" spans="2:7" ht="15">
      <c r="B158" s="2">
        <v>10</v>
      </c>
      <c r="C158" s="2">
        <v>2420</v>
      </c>
      <c r="D158" s="2">
        <v>54</v>
      </c>
      <c r="E158" s="2">
        <v>81</v>
      </c>
      <c r="F158" s="2">
        <v>700</v>
      </c>
      <c r="G158" s="2">
        <v>12</v>
      </c>
    </row>
    <row r="159" spans="2:7" ht="15">
      <c r="B159" s="2">
        <v>13</v>
      </c>
      <c r="C159" s="2">
        <v>2780</v>
      </c>
      <c r="D159" s="2">
        <v>66</v>
      </c>
      <c r="E159" s="2">
        <v>93</v>
      </c>
      <c r="F159" s="2">
        <v>700</v>
      </c>
      <c r="G159" s="2">
        <v>12</v>
      </c>
    </row>
    <row r="160" spans="2:7" ht="15">
      <c r="B160" s="2">
        <v>16</v>
      </c>
      <c r="C160" s="2">
        <v>2960</v>
      </c>
      <c r="D160" s="2">
        <v>67</v>
      </c>
      <c r="E160" s="2">
        <v>99</v>
      </c>
      <c r="F160" s="2">
        <v>700</v>
      </c>
      <c r="G160" s="2">
        <v>15</v>
      </c>
    </row>
    <row r="161" spans="2:7" ht="15">
      <c r="B161" s="2">
        <v>20</v>
      </c>
      <c r="C161" s="2">
        <v>3000</v>
      </c>
      <c r="D161" s="2">
        <v>64</v>
      </c>
      <c r="E161" s="2">
        <v>83</v>
      </c>
      <c r="F161" s="2">
        <v>600</v>
      </c>
      <c r="G161" s="2">
        <v>10</v>
      </c>
    </row>
    <row r="162" spans="2:7" ht="15">
      <c r="B162" s="2">
        <v>40</v>
      </c>
      <c r="C162" s="2">
        <v>2850</v>
      </c>
      <c r="D162" s="2">
        <v>64</v>
      </c>
      <c r="E162" s="2">
        <v>79</v>
      </c>
      <c r="F162" s="2">
        <v>500</v>
      </c>
      <c r="G162" s="2">
        <v>10</v>
      </c>
    </row>
    <row r="163" spans="2:7" ht="15">
      <c r="B163" s="2">
        <v>50</v>
      </c>
      <c r="C163" s="2">
        <v>2700</v>
      </c>
      <c r="D163" s="2">
        <v>64</v>
      </c>
      <c r="E163" s="2">
        <v>75</v>
      </c>
      <c r="F163" s="2">
        <v>500</v>
      </c>
      <c r="G163" s="2">
        <v>10</v>
      </c>
    </row>
    <row r="164" spans="2:7" ht="15">
      <c r="B164" s="2">
        <v>60</v>
      </c>
      <c r="C164" s="2">
        <v>2400</v>
      </c>
      <c r="D164" s="2">
        <v>64</v>
      </c>
      <c r="E164" s="2">
        <v>67</v>
      </c>
      <c r="F164" s="2">
        <v>500</v>
      </c>
      <c r="G164" s="2">
        <v>10</v>
      </c>
    </row>
    <row r="165" spans="2:7" ht="15">
      <c r="B165" s="2">
        <v>70</v>
      </c>
      <c r="C165" s="2">
        <v>2100</v>
      </c>
      <c r="D165" s="2">
        <v>64</v>
      </c>
      <c r="E165" s="2">
        <v>58</v>
      </c>
      <c r="F165" s="2">
        <v>500</v>
      </c>
      <c r="G165" s="2">
        <v>10</v>
      </c>
    </row>
    <row r="179" spans="2:6" ht="15">
      <c r="B179" s="1" t="s">
        <v>50</v>
      </c>
      <c r="F179" s="1" t="s">
        <v>57</v>
      </c>
    </row>
    <row r="180" spans="2:7" ht="15">
      <c r="B180" s="1" t="s">
        <v>51</v>
      </c>
      <c r="F180" s="1" t="s">
        <v>58</v>
      </c>
      <c r="G180" s="3" t="s">
        <v>59</v>
      </c>
    </row>
    <row r="181" spans="2:7" ht="15">
      <c r="B181" s="1" t="s">
        <v>52</v>
      </c>
      <c r="D181" s="2">
        <v>1730</v>
      </c>
      <c r="F181" s="2">
        <v>49.1</v>
      </c>
      <c r="G181" s="2">
        <f>D181+(D181*F181/100)</f>
        <v>2579.43</v>
      </c>
    </row>
    <row r="182" spans="2:7" ht="15">
      <c r="B182" s="1" t="s">
        <v>53</v>
      </c>
      <c r="D182" s="2">
        <v>53</v>
      </c>
      <c r="F182" s="2">
        <v>47.41</v>
      </c>
      <c r="G182" s="2">
        <f>D182+(D182*F182/100)</f>
        <v>78.1273</v>
      </c>
    </row>
    <row r="183" spans="2:7" ht="15">
      <c r="B183" s="1" t="s">
        <v>54</v>
      </c>
      <c r="D183" s="2">
        <v>48</v>
      </c>
      <c r="F183" s="2">
        <v>0</v>
      </c>
      <c r="G183" s="2">
        <f>D183+(D183*F183/100)</f>
        <v>48</v>
      </c>
    </row>
    <row r="184" spans="2:4" ht="15">
      <c r="B184" s="1" t="s">
        <v>55</v>
      </c>
      <c r="D184" s="2">
        <v>500</v>
      </c>
    </row>
    <row r="185" spans="2:4" ht="15">
      <c r="B185" s="1" t="s">
        <v>56</v>
      </c>
      <c r="D185" s="2">
        <v>10</v>
      </c>
    </row>
    <row r="188" ht="15">
      <c r="B188" s="1" t="s">
        <v>60</v>
      </c>
    </row>
    <row r="190" spans="2:4" ht="15">
      <c r="B190" s="1" t="s">
        <v>61</v>
      </c>
      <c r="D190" s="2">
        <f>G181</f>
        <v>2579.43</v>
      </c>
    </row>
    <row r="191" spans="2:8" ht="15">
      <c r="B191" s="1" t="s">
        <v>62</v>
      </c>
      <c r="D191" s="2">
        <f>G182</f>
        <v>78.1273</v>
      </c>
      <c r="E191" s="1" t="s">
        <v>63</v>
      </c>
      <c r="H191" s="2">
        <f>D191/6.25</f>
        <v>12.500368000000002</v>
      </c>
    </row>
    <row r="193" spans="4:5" ht="15">
      <c r="D193" s="1" t="s">
        <v>64</v>
      </c>
      <c r="E193" s="1" t="s">
        <v>65</v>
      </c>
    </row>
    <row r="194" spans="2:8" ht="15">
      <c r="B194" s="1" t="s">
        <v>66</v>
      </c>
      <c r="D194" s="2">
        <v>48</v>
      </c>
      <c r="E194" s="5">
        <f>D190/3.4*(D194/100)</f>
        <v>364.1548235294117</v>
      </c>
      <c r="F194" s="1" t="s">
        <v>67</v>
      </c>
      <c r="H194" s="2">
        <f>E194*3.4</f>
        <v>1238.1263999999999</v>
      </c>
    </row>
    <row r="195" spans="2:8" ht="15">
      <c r="B195" s="1" t="s">
        <v>68</v>
      </c>
      <c r="D195" s="2">
        <v>60</v>
      </c>
      <c r="E195" s="5">
        <f>D190/9*(D195/100)</f>
        <v>171.96199999999996</v>
      </c>
      <c r="F195" s="1" t="s">
        <v>67</v>
      </c>
      <c r="H195" s="2">
        <f>E195*9</f>
        <v>1547.6579999999997</v>
      </c>
    </row>
    <row r="196" spans="2:8" ht="15">
      <c r="B196" s="1" t="s">
        <v>69</v>
      </c>
      <c r="D196" s="2">
        <v>7</v>
      </c>
      <c r="E196" s="5">
        <f>D190/3.2*(D196/100)</f>
        <v>56.425031249999996</v>
      </c>
      <c r="F196" s="1" t="s">
        <v>67</v>
      </c>
      <c r="H196" s="4">
        <f>E196*3.2</f>
        <v>180.5601</v>
      </c>
    </row>
    <row r="197" spans="2:8" ht="15">
      <c r="B197" s="1" t="s">
        <v>70</v>
      </c>
      <c r="H197" s="2">
        <f>H194+H195+H196</f>
        <v>2966.3444999999997</v>
      </c>
    </row>
    <row r="198" spans="2:7" ht="15">
      <c r="B198" s="1" t="s">
        <v>71</v>
      </c>
      <c r="D198" s="5">
        <f>1000*H191/12.5</f>
        <v>1000.0294400000001</v>
      </c>
      <c r="E198" s="1" t="s">
        <v>72</v>
      </c>
      <c r="F198" s="2">
        <f>H191</f>
        <v>12.500368000000002</v>
      </c>
      <c r="G198" s="1" t="s">
        <v>73</v>
      </c>
    </row>
    <row r="199" spans="2:8" ht="15">
      <c r="B199" s="1" t="s">
        <v>74</v>
      </c>
      <c r="D199" s="5">
        <f>1000*H194/1237.5</f>
        <v>1000.5061818181817</v>
      </c>
      <c r="E199" s="1" t="s">
        <v>75</v>
      </c>
      <c r="F199" s="2">
        <f>H194</f>
        <v>1238.1263999999999</v>
      </c>
      <c r="G199" s="1" t="s">
        <v>76</v>
      </c>
      <c r="H199" s="2">
        <f>E194</f>
        <v>364.1548235294117</v>
      </c>
    </row>
    <row r="200" spans="2:8" ht="15">
      <c r="B200" s="1" t="s">
        <v>77</v>
      </c>
      <c r="D200" s="5">
        <f>1000*H194/1875</f>
        <v>660.33408</v>
      </c>
      <c r="E200" s="1" t="s">
        <v>75</v>
      </c>
      <c r="F200" s="2">
        <f>H194</f>
        <v>1238.1263999999999</v>
      </c>
      <c r="G200" s="1" t="s">
        <v>76</v>
      </c>
      <c r="H200" s="2">
        <f>E194</f>
        <v>364.1548235294117</v>
      </c>
    </row>
    <row r="201" spans="2:8" ht="15">
      <c r="B201" s="1" t="s">
        <v>78</v>
      </c>
      <c r="D201" s="5">
        <f>1000*H194/750</f>
        <v>1650.8352</v>
      </c>
      <c r="E201" s="1" t="s">
        <v>75</v>
      </c>
      <c r="F201" s="2">
        <f>H194</f>
        <v>1238.1263999999999</v>
      </c>
      <c r="G201" s="1" t="s">
        <v>76</v>
      </c>
      <c r="H201" s="2">
        <f>E194</f>
        <v>364.1548235294117</v>
      </c>
    </row>
    <row r="202" spans="2:8" ht="15">
      <c r="B202" s="1" t="s">
        <v>79</v>
      </c>
      <c r="D202" s="5">
        <f>1000*E195/112</f>
        <v>1535.3749999999998</v>
      </c>
      <c r="E202" s="1" t="s">
        <v>75</v>
      </c>
      <c r="F202" s="2">
        <f>H195</f>
        <v>1547.6579999999997</v>
      </c>
      <c r="G202" s="1" t="s">
        <v>76</v>
      </c>
      <c r="H202" s="2">
        <f>E195</f>
        <v>171.96199999999996</v>
      </c>
    </row>
    <row r="203" spans="2:8" ht="15">
      <c r="B203" s="1" t="s">
        <v>80</v>
      </c>
      <c r="D203" s="5">
        <f>1000*E195/212</f>
        <v>811.1415094339621</v>
      </c>
      <c r="E203" s="1" t="s">
        <v>75</v>
      </c>
      <c r="F203" s="2">
        <f>H195</f>
        <v>1547.6579999999997</v>
      </c>
      <c r="G203" s="1" t="s">
        <v>76</v>
      </c>
      <c r="H203" s="2">
        <f>E195</f>
        <v>171.96199999999996</v>
      </c>
    </row>
    <row r="204" spans="5:6" ht="15">
      <c r="E204" s="3" t="s">
        <v>81</v>
      </c>
      <c r="F204" s="3" t="s">
        <v>82</v>
      </c>
    </row>
    <row r="205" spans="2:8" ht="15">
      <c r="B205" s="1" t="s">
        <v>71</v>
      </c>
      <c r="D205" s="5">
        <v>1000</v>
      </c>
      <c r="F205" s="5">
        <f>D205*0.0125</f>
        <v>12.5</v>
      </c>
      <c r="G205" s="1" t="s">
        <v>83</v>
      </c>
      <c r="H205" s="2">
        <f>F205*6.25</f>
        <v>78.125</v>
      </c>
    </row>
    <row r="206" spans="2:8" ht="15">
      <c r="B206" s="1" t="s">
        <v>74</v>
      </c>
      <c r="D206" s="5">
        <v>1000</v>
      </c>
      <c r="E206" s="2">
        <f>50*H206</f>
        <v>16500</v>
      </c>
      <c r="F206" s="5">
        <f>D206*0.33*3.4</f>
        <v>1122</v>
      </c>
      <c r="G206" s="1" t="s">
        <v>76</v>
      </c>
      <c r="H206" s="2">
        <f>D206*0.33</f>
        <v>330</v>
      </c>
    </row>
    <row r="207" spans="2:8" ht="15">
      <c r="B207" s="1" t="s">
        <v>77</v>
      </c>
      <c r="D207" s="5">
        <v>1000</v>
      </c>
      <c r="E207" s="2">
        <f>D207*25</f>
        <v>25000</v>
      </c>
      <c r="F207" s="5">
        <f>D207*0.5*3.4</f>
        <v>1700</v>
      </c>
      <c r="G207" s="1" t="s">
        <v>76</v>
      </c>
      <c r="H207" s="2">
        <f>D207*0.5</f>
        <v>500</v>
      </c>
    </row>
    <row r="208" spans="2:8" ht="15">
      <c r="B208" s="1" t="s">
        <v>78</v>
      </c>
      <c r="D208" s="5">
        <v>1000</v>
      </c>
      <c r="E208" s="2">
        <f>D208*10</f>
        <v>10000</v>
      </c>
      <c r="F208" s="5">
        <f>D208*0.2*3.4</f>
        <v>680</v>
      </c>
      <c r="G208" s="1" t="s">
        <v>76</v>
      </c>
      <c r="H208" s="2">
        <f>D208*0.2</f>
        <v>200</v>
      </c>
    </row>
    <row r="209" spans="2:8" ht="15">
      <c r="B209" s="1" t="s">
        <v>79</v>
      </c>
      <c r="D209" s="5">
        <v>1300</v>
      </c>
      <c r="E209" s="2">
        <f>D209*2.8</f>
        <v>3639.9999999999995</v>
      </c>
      <c r="F209" s="5">
        <f>D209*0.1*11</f>
        <v>1430</v>
      </c>
      <c r="G209" s="1" t="s">
        <v>76</v>
      </c>
      <c r="H209" s="2">
        <f>D209*0.11</f>
        <v>143</v>
      </c>
    </row>
    <row r="210" spans="2:8" ht="15">
      <c r="B210" s="1" t="s">
        <v>80</v>
      </c>
      <c r="D210" s="5">
        <v>1000</v>
      </c>
      <c r="E210" s="2">
        <f>D210*3.35</f>
        <v>3350</v>
      </c>
      <c r="F210" s="5">
        <f>D210*0.2*10</f>
        <v>2000</v>
      </c>
      <c r="G210" s="1" t="s">
        <v>76</v>
      </c>
      <c r="H210" s="2">
        <f>D210*0.21</f>
        <v>210</v>
      </c>
    </row>
    <row r="211" spans="2:6" ht="15">
      <c r="B211" s="1" t="s">
        <v>84</v>
      </c>
      <c r="D211" s="2">
        <f>SUM(D205:D210)</f>
        <v>6300</v>
      </c>
      <c r="E211" s="2">
        <f>SUM(E205:E210)/D211</f>
        <v>9.284126984126985</v>
      </c>
      <c r="F211" s="2">
        <f>SUM(F206:F210)</f>
        <v>6932</v>
      </c>
    </row>
    <row r="212" ht="15">
      <c r="D212" s="5"/>
    </row>
  </sheetData>
  <sheetProtection password="DD0F" sheet="1" objects="1" scenarios="1"/>
  <hyperlinks>
    <hyperlink ref="O2" r:id="rId1" display="Dr. G. Quintaliani"/>
    <hyperlink ref="O4" r:id="rId2" display="by Renalgate.it"/>
  </hyperlinks>
  <printOptions/>
  <pageMargins left="0.75" right="0.75" top="1" bottom="1" header="0.5" footer="0.5"/>
  <pageSetup horizontalDpi="360" verticalDpi="360" orientation="portrait" paperSize="9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Azienda Ospedale Perugia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Quintaliani</dc:creator>
  <cp:keywords/>
  <dc:description/>
  <cp:lastModifiedBy>PQR</cp:lastModifiedBy>
  <cp:lastPrinted>1999-06-06T12:14:06Z</cp:lastPrinted>
  <dcterms:created xsi:type="dcterms:W3CDTF">1999-06-05T08:29:22Z</dcterms:created>
  <dcterms:modified xsi:type="dcterms:W3CDTF">2000-11-14T20:00:28Z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