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antropometria" sheetId="1" r:id="rId1"/>
    <sheet name="eq acido base" sheetId="2" r:id="rId2"/>
    <sheet name="calcolatore infusioni" sheetId="3" r:id="rId3"/>
    <sheet name="calcolatore GFR" sheetId="4" r:id="rId4"/>
    <sheet name="TSAT%" sheetId="5" r:id="rId5"/>
    <sheet name="compliance dietetica" sheetId="6" r:id="rId6"/>
    <sheet name="cinetica urea 2 punti" sheetId="7" r:id="rId7"/>
    <sheet name="cinetica urea 3 punti" sheetId="8" r:id="rId8"/>
    <sheet name="nPCR" sheetId="9" r:id="rId9"/>
    <sheet name="ricircolo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Morrone</author>
  </authors>
  <commentList>
    <comment ref="A4" authorId="0">
      <text>
        <r>
          <rPr>
            <sz val="8"/>
            <rFont val="Tahoma"/>
            <family val="0"/>
          </rPr>
          <t xml:space="preserve">se amputato indicare altezza prima dell'amputazione
</t>
        </r>
      </text>
    </comment>
    <comment ref="A6" authorId="0">
      <text>
        <r>
          <rPr>
            <b/>
            <sz val="8"/>
            <rFont val="Tahoma"/>
            <family val="0"/>
          </rPr>
          <t>se femmina= f
se maschio= m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sz val="8"/>
            <rFont val="Tahoma"/>
            <family val="0"/>
          </rPr>
          <t>Nessuna= lascia cella vuota; Mano=</t>
        </r>
        <r>
          <rPr>
            <b/>
            <sz val="8"/>
            <color indexed="10"/>
            <rFont val="Tahoma"/>
            <family val="2"/>
          </rPr>
          <t>1</t>
        </r>
        <r>
          <rPr>
            <sz val="8"/>
            <rFont val="Tahoma"/>
            <family val="0"/>
          </rPr>
          <t>; Avambraccio=</t>
        </r>
        <r>
          <rPr>
            <b/>
            <sz val="8"/>
            <color indexed="10"/>
            <rFont val="Tahoma"/>
            <family val="2"/>
          </rPr>
          <t>2</t>
        </r>
        <r>
          <rPr>
            <sz val="8"/>
            <rFont val="Tahoma"/>
            <family val="0"/>
          </rPr>
          <t>; Braccio=</t>
        </r>
        <r>
          <rPr>
            <b/>
            <sz val="8"/>
            <color indexed="10"/>
            <rFont val="Tahoma"/>
            <family val="2"/>
          </rPr>
          <t>3</t>
        </r>
        <r>
          <rPr>
            <sz val="8"/>
            <rFont val="Tahoma"/>
            <family val="0"/>
          </rPr>
          <t>; Arto inf. alla coscia=</t>
        </r>
        <r>
          <rPr>
            <b/>
            <sz val="8"/>
            <color indexed="10"/>
            <rFont val="Tahoma"/>
            <family val="2"/>
          </rPr>
          <t>4</t>
        </r>
        <r>
          <rPr>
            <sz val="8"/>
            <rFont val="Tahoma"/>
            <family val="0"/>
          </rPr>
          <t>; Arto inf. sopra il ginocchio=</t>
        </r>
        <r>
          <rPr>
            <b/>
            <sz val="8"/>
            <color indexed="10"/>
            <rFont val="Tahoma"/>
            <family val="2"/>
          </rPr>
          <t>5</t>
        </r>
        <r>
          <rPr>
            <sz val="8"/>
            <rFont val="Tahoma"/>
            <family val="0"/>
          </rPr>
          <t>; Arto inf. sotto il ginocchio=</t>
        </r>
        <r>
          <rPr>
            <b/>
            <sz val="8"/>
            <color indexed="10"/>
            <rFont val="Tahoma"/>
            <family val="2"/>
          </rPr>
          <t>6</t>
        </r>
        <r>
          <rPr>
            <sz val="8"/>
            <rFont val="Tahoma"/>
            <family val="0"/>
          </rPr>
          <t>; Piede=</t>
        </r>
        <r>
          <rPr>
            <b/>
            <sz val="8"/>
            <color indexed="10"/>
            <rFont val="Tahoma"/>
            <family val="2"/>
          </rPr>
          <t>7</t>
        </r>
      </text>
    </comment>
    <comment ref="A8" authorId="0">
      <text>
        <r>
          <rPr>
            <sz val="8"/>
            <rFont val="Tahoma"/>
            <family val="0"/>
          </rPr>
          <t xml:space="preserve">si
no
lascia vuoto
</t>
        </r>
      </text>
    </comment>
    <comment ref="A13" authorId="0">
      <text>
        <r>
          <rPr>
            <sz val="8"/>
            <rFont val="Tahoma"/>
            <family val="0"/>
          </rPr>
          <t xml:space="preserve">equivale a Volume di distribuzione (dell'urea)
</t>
        </r>
      </text>
    </comment>
    <comment ref="C15" authorId="0">
      <text>
        <r>
          <rPr>
            <b/>
            <sz val="8"/>
            <color indexed="10"/>
            <rFont val="Tahoma"/>
            <family val="2"/>
          </rPr>
          <t>BMI</t>
        </r>
        <r>
          <rPr>
            <sz val="8"/>
            <rFont val="Tahoma"/>
            <family val="0"/>
          </rPr>
          <t xml:space="preserve"> = Kg peso/mt altezza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.
</t>
        </r>
        <r>
          <rPr>
            <b/>
            <sz val="8"/>
            <color indexed="10"/>
            <rFont val="Tahoma"/>
            <family val="2"/>
          </rPr>
          <t>IBW uomini</t>
        </r>
        <r>
          <rPr>
            <sz val="8"/>
            <rFont val="Tahoma"/>
            <family val="0"/>
          </rPr>
          <t xml:space="preserve"> (Devine) = 50 + 3.3 Kg per pollice oltre i cinque piedi. 
</t>
        </r>
        <r>
          <rPr>
            <b/>
            <sz val="8"/>
            <color indexed="10"/>
            <rFont val="Tahoma"/>
            <family val="2"/>
          </rPr>
          <t>IBW donne</t>
        </r>
        <r>
          <rPr>
            <sz val="8"/>
            <rFont val="Tahoma"/>
            <family val="0"/>
          </rPr>
          <t xml:space="preserve"> (Robinson) = 49 + 1.7 Kg Kg per pollice oltre i cinque piedi.  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LBW uomini</t>
        </r>
        <r>
          <rPr>
            <sz val="8"/>
            <rFont val="Tahoma"/>
            <family val="2"/>
          </rPr>
          <t xml:space="preserve"> = (1.10 x Kg peso) -128 x (Kg peso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/ (100 x mt altezza)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).
</t>
        </r>
        <r>
          <rPr>
            <b/>
            <sz val="8"/>
            <color indexed="10"/>
            <rFont val="Tahoma"/>
            <family val="2"/>
          </rPr>
          <t>LBW donne</t>
        </r>
        <r>
          <rPr>
            <sz val="8"/>
            <rFont val="Tahoma"/>
            <family val="2"/>
          </rPr>
          <t xml:space="preserve"> = (1.07 x Kg peso) -148 x (Kg peso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/ (100 x mt altezza)</t>
        </r>
        <r>
          <rPr>
            <vertAlign val="super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>).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BSA </t>
        </r>
        <r>
          <rPr>
            <sz val="8"/>
            <rFont val="Tahoma"/>
            <family val="2"/>
          </rPr>
          <t>(Du Bois &amp; Du Bois)</t>
        </r>
        <r>
          <rPr>
            <sz val="8"/>
            <color indexed="12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= 0,007184  x Kg peso</t>
        </r>
        <r>
          <rPr>
            <vertAlign val="superscript"/>
            <sz val="8"/>
            <rFont val="Tahoma"/>
            <family val="2"/>
          </rPr>
          <t>0.425</t>
        </r>
        <r>
          <rPr>
            <sz val="8"/>
            <rFont val="Tahoma"/>
            <family val="2"/>
          </rPr>
          <t xml:space="preserve"> x cm altezza</t>
        </r>
        <r>
          <rPr>
            <vertAlign val="superscript"/>
            <sz val="8"/>
            <rFont val="Tahoma"/>
            <family val="2"/>
          </rPr>
          <t>0,725</t>
        </r>
        <r>
          <rPr>
            <sz val="8"/>
            <rFont val="Tahoma"/>
            <family val="2"/>
          </rPr>
          <t xml:space="preserve">.
</t>
        </r>
        <r>
          <rPr>
            <b/>
            <sz val="8"/>
            <color indexed="10"/>
            <rFont val="Tahoma"/>
            <family val="2"/>
          </rPr>
          <t>TBW uomin</t>
        </r>
        <r>
          <rPr>
            <sz val="8"/>
            <rFont val="Tahoma"/>
            <family val="2"/>
          </rPr>
          <t xml:space="preserve">i (Watson) =(-0.09516 x anni di età) + (0.1074 x cm altezza) + 0.3362 x Kg peso) + 2.447.
</t>
        </r>
        <r>
          <rPr>
            <b/>
            <sz val="8"/>
            <color indexed="10"/>
            <rFont val="Tahoma"/>
            <family val="2"/>
          </rPr>
          <t xml:space="preserve">TBW donne </t>
        </r>
        <r>
          <rPr>
            <sz val="8"/>
            <rFont val="Tahoma"/>
            <family val="2"/>
          </rPr>
          <t>(Watson)</t>
        </r>
        <r>
          <rPr>
            <sz val="8"/>
            <color indexed="4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=(0.1069 x cm altezza) + 0.2466 x Kg peso) - 2.097</t>
        </r>
        <r>
          <rPr>
            <sz val="8"/>
            <color indexed="48"/>
            <rFont val="Tahoma"/>
            <family val="2"/>
          </rPr>
          <t>.</t>
        </r>
        <r>
          <rPr>
            <sz val="8"/>
            <rFont val="Tahoma"/>
            <family val="2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Morrone</author>
  </authors>
  <commentList>
    <comment ref="A3" authorId="0">
      <text>
        <r>
          <rPr>
            <sz val="8"/>
            <rFont val="Tahoma"/>
            <family val="0"/>
          </rPr>
          <t xml:space="preserve">prelievo entro 20 secondi
</t>
        </r>
      </text>
    </comment>
    <comment ref="C7" authorId="0">
      <text>
        <r>
          <rPr>
            <b/>
            <sz val="8"/>
            <color indexed="10"/>
            <rFont val="Tahoma"/>
            <family val="2"/>
          </rPr>
          <t>Ricircolo (%)</t>
        </r>
        <r>
          <rPr>
            <sz val="8"/>
            <rFont val="Tahoma"/>
            <family val="0"/>
          </rPr>
          <t xml:space="preserve"> = (Azotemia periferica – Azotemia linea arteriosa) ÷ (Azotemia periferica – Azotemia linea venosa)
Principle and practice of dialysis. Henrich WL ed. Baltimora, Waverley 1996: 30-36.
</t>
        </r>
      </text>
    </comment>
  </commentList>
</comments>
</file>

<file path=xl/comments2.xml><?xml version="1.0" encoding="utf-8"?>
<comments xmlns="http://schemas.openxmlformats.org/spreadsheetml/2006/main">
  <authors>
    <author>Morrone</author>
    <author>Utente</author>
  </authors>
  <commentList>
    <comment ref="A6" authorId="0">
      <text>
        <r>
          <rPr>
            <sz val="8"/>
            <rFont val="Tahoma"/>
            <family val="0"/>
          </rPr>
          <t xml:space="preserve">Inserire per gap anionico
</t>
        </r>
      </text>
    </comment>
    <comment ref="A7" authorId="0">
      <text>
        <r>
          <rPr>
            <sz val="8"/>
            <rFont val="Tahoma"/>
            <family val="0"/>
          </rPr>
          <t xml:space="preserve">Inserire per gap anionico
</t>
        </r>
      </text>
    </comment>
    <comment ref="A8" authorId="0">
      <text>
        <r>
          <rPr>
            <sz val="8"/>
            <rFont val="Tahoma"/>
            <family val="0"/>
          </rPr>
          <t xml:space="preserve">Inserire per supplementi di bicarbonato
</t>
        </r>
      </text>
    </comment>
    <comment ref="B11" authorId="1">
      <text>
        <r>
          <rPr>
            <sz val="8"/>
            <rFont val="Tahoma"/>
            <family val="0"/>
          </rPr>
          <t xml:space="preserve">Si consiglia di somministrare il 50% della dose, ricontrollare la bicarbonatemia e poi eventualmente somministrare il restante 50% della dose
</t>
        </r>
      </text>
    </comment>
    <comment ref="C13" authorId="0">
      <text>
        <r>
          <rPr>
            <b/>
            <sz val="8"/>
            <rFont val="Tahoma"/>
            <family val="0"/>
          </rPr>
          <t>Commenti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color indexed="10"/>
            <rFont val="Tahoma"/>
            <family val="2"/>
          </rPr>
          <t>gap anionico</t>
        </r>
        <r>
          <rPr>
            <sz val="8"/>
            <rFont val="Tahoma"/>
            <family val="0"/>
          </rPr>
          <t xml:space="preserve"> =[Na]-([HCO3]+[Cl])     
</t>
        </r>
        <r>
          <rPr>
            <b/>
            <sz val="8"/>
            <color indexed="10"/>
            <rFont val="Tahoma"/>
            <family val="2"/>
          </rPr>
          <t>supplementi HCO3</t>
        </r>
        <r>
          <rPr>
            <sz val="8"/>
            <rFont val="Tahoma"/>
            <family val="0"/>
          </rPr>
          <t xml:space="preserve"> = Kg peso x 0,4*(21-[HCO3])
</t>
        </r>
      </text>
    </comment>
  </commentList>
</comments>
</file>

<file path=xl/comments3.xml><?xml version="1.0" encoding="utf-8"?>
<comments xmlns="http://schemas.openxmlformats.org/spreadsheetml/2006/main">
  <authors>
    <author>Morrone</author>
  </authors>
  <commentList>
    <comment ref="B4" authorId="0">
      <text>
        <r>
          <rPr>
            <b/>
            <sz val="8"/>
            <color indexed="10"/>
            <rFont val="Tahoma"/>
            <family val="2"/>
          </rPr>
          <t>g</t>
        </r>
        <r>
          <rPr>
            <sz val="8"/>
            <rFont val="Tahoma"/>
            <family val="0"/>
          </rPr>
          <t xml:space="preserve"> = grammo; </t>
        </r>
        <r>
          <rPr>
            <b/>
            <sz val="8"/>
            <color indexed="10"/>
            <rFont val="Tahoma"/>
            <family val="2"/>
          </rPr>
          <t>dg</t>
        </r>
        <r>
          <rPr>
            <sz val="8"/>
            <rFont val="Tahoma"/>
            <family val="0"/>
          </rPr>
          <t xml:space="preserve"> =decigrammo; </t>
        </r>
        <r>
          <rPr>
            <b/>
            <sz val="8"/>
            <color indexed="10"/>
            <rFont val="Tahoma"/>
            <family val="2"/>
          </rPr>
          <t>cg</t>
        </r>
        <r>
          <rPr>
            <sz val="8"/>
            <rFont val="Tahoma"/>
            <family val="0"/>
          </rPr>
          <t xml:space="preserve"> =centigrammo; </t>
        </r>
        <r>
          <rPr>
            <b/>
            <sz val="8"/>
            <color indexed="10"/>
            <rFont val="Tahoma"/>
            <family val="2"/>
          </rPr>
          <t>mg</t>
        </r>
        <r>
          <rPr>
            <sz val="8"/>
            <rFont val="Tahoma"/>
            <family val="0"/>
          </rPr>
          <t xml:space="preserve"> =milligrammo; </t>
        </r>
        <r>
          <rPr>
            <b/>
            <sz val="8"/>
            <color indexed="10"/>
            <rFont val="Tahoma"/>
            <family val="2"/>
          </rPr>
          <t>mcg</t>
        </r>
        <r>
          <rPr>
            <sz val="8"/>
            <rFont val="Tahoma"/>
            <family val="0"/>
          </rPr>
          <t xml:space="preserve"> =microgrammo; </t>
        </r>
        <r>
          <rPr>
            <b/>
            <sz val="8"/>
            <color indexed="10"/>
            <rFont val="Tahoma"/>
            <family val="2"/>
          </rPr>
          <t>ng</t>
        </r>
        <r>
          <rPr>
            <sz val="8"/>
            <rFont val="Tahoma"/>
            <family val="0"/>
          </rPr>
          <t xml:space="preserve"> =nanogrammo; </t>
        </r>
        <r>
          <rPr>
            <sz val="8"/>
            <color indexed="10"/>
            <rFont val="Tahoma"/>
            <family val="2"/>
          </rPr>
          <t>p</t>
        </r>
        <r>
          <rPr>
            <b/>
            <sz val="8"/>
            <color indexed="10"/>
            <rFont val="Tahoma"/>
            <family val="2"/>
          </rPr>
          <t>g</t>
        </r>
        <r>
          <rPr>
            <sz val="8"/>
            <rFont val="Tahoma"/>
            <family val="0"/>
          </rPr>
          <t xml:space="preserve"> =picogrammo</t>
        </r>
      </text>
    </comment>
    <comment ref="A5" authorId="0">
      <text>
        <r>
          <rPr>
            <sz val="8"/>
            <rFont val="Tahoma"/>
            <family val="0"/>
          </rPr>
          <t xml:space="preserve">Kg e mq sono alternativi
</t>
        </r>
      </text>
    </comment>
    <comment ref="B5" authorId="0">
      <text>
        <r>
          <rPr>
            <b/>
            <sz val="8"/>
            <color indexed="10"/>
            <rFont val="Tahoma"/>
            <family val="2"/>
          </rPr>
          <t>1=</t>
        </r>
        <r>
          <rPr>
            <sz val="8"/>
            <rFont val="Tahoma"/>
            <family val="0"/>
          </rPr>
          <t xml:space="preserve"> dose/Kg
</t>
        </r>
      </text>
    </comment>
    <comment ref="A6" authorId="0">
      <text>
        <r>
          <rPr>
            <sz val="8"/>
            <rFont val="Tahoma"/>
            <family val="0"/>
          </rPr>
          <t>Kg e mq sono alternativi</t>
        </r>
      </text>
    </comment>
    <comment ref="B6" authorId="0">
      <text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2"/>
          </rPr>
          <t>=</t>
        </r>
        <r>
          <rPr>
            <sz val="8"/>
            <rFont val="Tahoma"/>
            <family val="0"/>
          </rPr>
          <t xml:space="preserve"> dose/mq
</t>
        </r>
      </text>
    </comment>
    <comment ref="B7" authorId="0">
      <text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rFont val="Tahoma"/>
            <family val="2"/>
          </rPr>
          <t>=</t>
        </r>
        <r>
          <rPr>
            <b/>
            <sz val="8"/>
            <color indexed="10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dose/ minuto); </t>
        </r>
        <r>
          <rPr>
            <b/>
            <sz val="8"/>
            <color indexed="10"/>
            <rFont val="Tahoma"/>
            <family val="2"/>
          </rPr>
          <t xml:space="preserve">60 </t>
        </r>
        <r>
          <rPr>
            <b/>
            <sz val="8"/>
            <rFont val="Tahoma"/>
            <family val="2"/>
          </rPr>
          <t>=</t>
        </r>
        <r>
          <rPr>
            <sz val="8"/>
            <rFont val="Tahoma"/>
            <family val="0"/>
          </rPr>
          <t xml:space="preserve"> dose/ ora); </t>
        </r>
        <r>
          <rPr>
            <b/>
            <sz val="8"/>
            <color indexed="10"/>
            <rFont val="Tahoma"/>
            <family val="2"/>
          </rPr>
          <t>1440</t>
        </r>
        <r>
          <rPr>
            <b/>
            <sz val="8"/>
            <rFont val="Tahoma"/>
            <family val="2"/>
          </rPr>
          <t xml:space="preserve">= </t>
        </r>
        <r>
          <rPr>
            <sz val="8"/>
            <rFont val="Tahoma"/>
            <family val="0"/>
          </rPr>
          <t>dose/ giorno)</t>
        </r>
      </text>
    </comment>
    <comment ref="B9" authorId="0">
      <text>
        <r>
          <rPr>
            <b/>
            <sz val="8"/>
            <color indexed="10"/>
            <rFont val="Tahoma"/>
            <family val="2"/>
          </rPr>
          <t>g</t>
        </r>
        <r>
          <rPr>
            <sz val="8"/>
            <rFont val="Tahoma"/>
            <family val="0"/>
          </rPr>
          <t xml:space="preserve"> = grammo; </t>
        </r>
        <r>
          <rPr>
            <b/>
            <sz val="8"/>
            <color indexed="10"/>
            <rFont val="Tahoma"/>
            <family val="2"/>
          </rPr>
          <t>dg</t>
        </r>
        <r>
          <rPr>
            <sz val="8"/>
            <rFont val="Tahoma"/>
            <family val="0"/>
          </rPr>
          <t xml:space="preserve"> =decigrammo; </t>
        </r>
        <r>
          <rPr>
            <b/>
            <sz val="8"/>
            <color indexed="10"/>
            <rFont val="Tahoma"/>
            <family val="2"/>
          </rPr>
          <t>cg</t>
        </r>
        <r>
          <rPr>
            <sz val="8"/>
            <rFont val="Tahoma"/>
            <family val="0"/>
          </rPr>
          <t xml:space="preserve"> =centigrammo; </t>
        </r>
        <r>
          <rPr>
            <b/>
            <sz val="8"/>
            <color indexed="10"/>
            <rFont val="Tahoma"/>
            <family val="2"/>
          </rPr>
          <t>mg</t>
        </r>
        <r>
          <rPr>
            <sz val="8"/>
            <rFont val="Tahoma"/>
            <family val="0"/>
          </rPr>
          <t xml:space="preserve"> =milligrammo; </t>
        </r>
        <r>
          <rPr>
            <b/>
            <sz val="8"/>
            <color indexed="10"/>
            <rFont val="Tahoma"/>
            <family val="2"/>
          </rPr>
          <t>mcg</t>
        </r>
        <r>
          <rPr>
            <sz val="8"/>
            <rFont val="Tahoma"/>
            <family val="0"/>
          </rPr>
          <t xml:space="preserve"> =microgrammo; </t>
        </r>
        <r>
          <rPr>
            <b/>
            <sz val="8"/>
            <color indexed="10"/>
            <rFont val="Tahoma"/>
            <family val="2"/>
          </rPr>
          <t xml:space="preserve">ng </t>
        </r>
        <r>
          <rPr>
            <sz val="8"/>
            <rFont val="Tahoma"/>
            <family val="2"/>
          </rPr>
          <t>=nanogrammo;</t>
        </r>
        <r>
          <rPr>
            <b/>
            <sz val="8"/>
            <color indexed="10"/>
            <rFont val="Tahoma"/>
            <family val="2"/>
          </rPr>
          <t xml:space="preserve"> pg </t>
        </r>
        <r>
          <rPr>
            <sz val="8"/>
            <rFont val="Tahoma"/>
            <family val="2"/>
          </rPr>
          <t>=picogrammo</t>
        </r>
      </text>
    </comment>
  </commentList>
</comments>
</file>

<file path=xl/comments4.xml><?xml version="1.0" encoding="utf-8"?>
<comments xmlns="http://schemas.openxmlformats.org/spreadsheetml/2006/main">
  <authors>
    <author>Morrone</author>
  </authors>
  <commentList>
    <comment ref="A8" authorId="0">
      <text>
        <r>
          <rPr>
            <sz val="8"/>
            <rFont val="Tahoma"/>
            <family val="0"/>
          </rPr>
          <t>immettere per:Cockroft/1.73mq e per MDRD riferita alla BSA del soggetto:</t>
        </r>
      </text>
    </comment>
    <comment ref="A9" authorId="0">
      <text>
        <r>
          <rPr>
            <sz val="8"/>
            <rFont val="Tahoma"/>
            <family val="0"/>
          </rPr>
          <t>riferita alla superficie corporea del soggetto</t>
        </r>
      </text>
    </comment>
    <comment ref="A10" authorId="0">
      <text>
        <r>
          <rPr>
            <sz val="8"/>
            <rFont val="Tahoma"/>
            <family val="0"/>
          </rPr>
          <t>riferita alla superficie corporea di 1.73 mq</t>
        </r>
      </text>
    </comment>
    <comment ref="A11" authorId="0">
      <text>
        <r>
          <rPr>
            <sz val="8"/>
            <rFont val="Tahoma"/>
            <family val="0"/>
          </rPr>
          <t xml:space="preserve">riferita alla superficie corporea di 1.73 mq
</t>
        </r>
      </text>
    </comment>
    <comment ref="A12" authorId="0">
      <text>
        <r>
          <rPr>
            <sz val="8"/>
            <rFont val="Tahoma"/>
            <family val="0"/>
          </rPr>
          <t>riferita alla superficie corporea del soggetto</t>
        </r>
      </text>
    </comment>
    <comment ref="C13" authorId="0">
      <text>
        <r>
          <rPr>
            <sz val="8"/>
            <rFont val="Tahoma"/>
            <family val="0"/>
          </rPr>
          <t xml:space="preserve">• </t>
        </r>
        <r>
          <rPr>
            <b/>
            <sz val="8"/>
            <color indexed="10"/>
            <rFont val="Tahoma"/>
            <family val="2"/>
          </rPr>
          <t>Formula di Cockroft e Gault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CrCl </t>
        </r>
        <r>
          <rPr>
            <sz val="8"/>
            <rFont val="Tahoma"/>
            <family val="0"/>
          </rPr>
          <t xml:space="preserve">(ml/min) = (140 - età) x PesoCorporeo(Kg) / (72 x creatininemia (mg/dl))
(x 0.85 se sesso femminile)
Riferimento bibliografico: Nephron 1976; 16(1): 31-41. 
• </t>
        </r>
        <r>
          <rPr>
            <b/>
            <sz val="8"/>
            <color indexed="10"/>
            <rFont val="Tahoma"/>
            <family val="2"/>
          </rPr>
          <t>Formula abbreviata MDRD per 1.73 m</t>
        </r>
        <r>
          <rPr>
            <b/>
            <vertAlign val="superscript"/>
            <sz val="8"/>
            <color indexed="10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
</t>
        </r>
        <r>
          <rPr>
            <b/>
            <sz val="8"/>
            <color indexed="10"/>
            <rFont val="Tahoma"/>
            <family val="2"/>
          </rPr>
          <t>GFR</t>
        </r>
        <r>
          <rPr>
            <sz val="8"/>
            <rFont val="Tahoma"/>
            <family val="0"/>
          </rPr>
          <t xml:space="preserve"> (ml/min)= 186 x creatininemia -1.154 x età -0.203 
(x 1.210 se razza nera x 0.742 se sesso femminile)
Riferimento bibliografico: Tavola 47 in Am J Kidney Dis Feb 2002 Supplement - K-DOQI CKD guidelines.
</t>
        </r>
      </text>
    </comment>
  </commentList>
</comments>
</file>

<file path=xl/comments5.xml><?xml version="1.0" encoding="utf-8"?>
<comments xmlns="http://schemas.openxmlformats.org/spreadsheetml/2006/main">
  <authors>
    <author>Morrone</author>
  </authors>
  <commentList>
    <comment ref="A5" authorId="0">
      <text>
        <r>
          <rPr>
            <sz val="8"/>
            <rFont val="Tahoma"/>
            <family val="0"/>
          </rPr>
          <t xml:space="preserve">V.N. 20-45%. Se &lt; 20% inizia terapia marziale
</t>
        </r>
      </text>
    </comment>
    <comment ref="D10" authorId="0">
      <text>
        <r>
          <rPr>
            <b/>
            <sz val="8"/>
            <color indexed="10"/>
            <rFont val="Tahoma"/>
            <family val="2"/>
          </rPr>
          <t xml:space="preserve">TSAT% </t>
        </r>
        <r>
          <rPr>
            <sz val="8"/>
            <rFont val="Tahoma"/>
            <family val="2"/>
          </rPr>
          <t>= (sideremia/transferrina) x 70,9</t>
        </r>
        <r>
          <rPr>
            <b/>
            <sz val="8"/>
            <color indexed="10"/>
            <rFont val="Tahoma"/>
            <family val="2"/>
          </rPr>
          <t/>
        </r>
      </text>
    </comment>
  </commentList>
</comments>
</file>

<file path=xl/comments6.xml><?xml version="1.0" encoding="utf-8"?>
<comments xmlns="http://schemas.openxmlformats.org/spreadsheetml/2006/main">
  <authors>
    <author>Morrone</author>
  </authors>
  <commentList>
    <comment ref="A3" authorId="0">
      <text>
        <r>
          <rPr>
            <sz val="8"/>
            <rFont val="Tahoma"/>
            <family val="0"/>
          </rPr>
          <t xml:space="preserve">g/die
</t>
        </r>
      </text>
    </comment>
    <comment ref="A5" authorId="0">
      <text>
        <r>
          <rPr>
            <sz val="8"/>
            <rFont val="Tahoma"/>
            <family val="0"/>
          </rPr>
          <t xml:space="preserve">indicare (in g/die) solo se &gt; 5 g/die
</t>
        </r>
      </text>
    </comment>
    <comment ref="A6" authorId="0">
      <text>
        <r>
          <rPr>
            <sz val="8"/>
            <rFont val="Tahoma"/>
            <family val="0"/>
          </rPr>
          <t xml:space="preserve">g/die
</t>
        </r>
      </text>
    </comment>
    <comment ref="A7" authorId="0">
      <text>
        <r>
          <rPr>
            <sz val="8"/>
            <rFont val="Tahoma"/>
            <family val="0"/>
          </rPr>
          <t xml:space="preserve">g/Kg/die
</t>
        </r>
      </text>
    </comment>
    <comment ref="C8" authorId="0">
      <text>
        <r>
          <rPr>
            <sz val="8"/>
            <rFont val="Tahoma"/>
            <family val="0"/>
          </rPr>
          <t xml:space="preserve">Formula di Mitch
</t>
        </r>
        <r>
          <rPr>
            <b/>
            <sz val="8"/>
            <color indexed="10"/>
            <rFont val="Tahoma"/>
            <family val="2"/>
          </rPr>
          <t>estimated protein intake</t>
        </r>
        <r>
          <rPr>
            <sz val="8"/>
            <rFont val="Tahoma"/>
            <family val="0"/>
          </rPr>
          <t xml:space="preserve"> = 6.25(UUN + 30 mg/Kg) + proteinuria (if &gt; 5 gr/die)
JASN 1991; 2 (4): 823-831</t>
        </r>
      </text>
    </comment>
  </commentList>
</comments>
</file>

<file path=xl/comments7.xml><?xml version="1.0" encoding="utf-8"?>
<comments xmlns="http://schemas.openxmlformats.org/spreadsheetml/2006/main">
  <authors>
    <author>Morrone</author>
  </authors>
  <commentList>
    <comment ref="A3" authorId="0">
      <text>
        <r>
          <rPr>
            <sz val="8"/>
            <rFont val="Tahoma"/>
            <family val="0"/>
          </rPr>
          <t xml:space="preserve">mg/dl
</t>
        </r>
      </text>
    </comment>
    <comment ref="A4" authorId="0">
      <text>
        <r>
          <rPr>
            <sz val="8"/>
            <rFont val="Tahoma"/>
            <family val="0"/>
          </rPr>
          <t xml:space="preserve">in mg/dl. Al termine della seduta regolare UF=0, Qb=100 ml/min: Dopo 10'' prelievo da linea arteriosa
</t>
        </r>
      </text>
    </comment>
    <comment ref="A8" authorId="0">
      <text>
        <r>
          <rPr>
            <sz val="8"/>
            <rFont val="Tahoma"/>
            <family val="0"/>
          </rPr>
          <t xml:space="preserve">Single pool KT/V. Cioè KT/V allo stacco, che non tiene conto del rebound post-dialitico dell'urea (modello monocompartimentale).
</t>
        </r>
      </text>
    </comment>
    <comment ref="A9" authorId="0">
      <text>
        <r>
          <rPr>
            <sz val="8"/>
            <rFont val="Tahoma"/>
            <family val="0"/>
          </rPr>
          <t>Urea reductio ratio: richiede azotemia pre e post</t>
        </r>
      </text>
    </comment>
    <comment ref="B9" authorId="0">
      <text>
        <r>
          <rPr>
            <sz val="8"/>
            <rFont val="Tahoma"/>
            <family val="0"/>
          </rPr>
          <t xml:space="preserve">accettabile se &gt; 65%
</t>
        </r>
      </text>
    </comment>
    <comment ref="A10" authorId="0">
      <text>
        <r>
          <rPr>
            <sz val="8"/>
            <rFont val="Tahoma"/>
            <family val="0"/>
          </rPr>
          <t xml:space="preserve">Questo calcolo della PCR è </t>
        </r>
        <r>
          <rPr>
            <sz val="8"/>
            <color indexed="10"/>
            <rFont val="Tahoma"/>
            <family val="2"/>
          </rPr>
          <t>abbastanza approssimativo</t>
        </r>
        <r>
          <rPr>
            <sz val="8"/>
            <rFont val="Tahoma"/>
            <family val="0"/>
          </rPr>
          <t xml:space="preserve"> perché il metodo semplificato di stima del KT/V secondo Daurgirdas non consente un corretto calcolo della nPCR
</t>
        </r>
      </text>
    </comment>
    <comment ref="C11" authorId="0">
      <text>
        <r>
          <rPr>
            <b/>
            <sz val="8"/>
            <color indexed="10"/>
            <rFont val="Tahoma"/>
            <family val="2"/>
          </rPr>
          <t>Formule di Daurgirdas per il calcolo del Kt/V</t>
        </r>
        <r>
          <rPr>
            <sz val="8"/>
            <rFont val="Tahoma"/>
            <family val="0"/>
          </rPr>
          <t xml:space="preserve">
     a)   Kt/V  = -ln (postBUN/preBUN  -  0.03) + [(4  -  3.5 postBUN/preBUN)  x  (UF seduta  ÷  peso post)]
     b)   Kt/V  = -ln (postBUN/preBUN  -  0.008 T) + [(4  -  3.5 postBUN/preBUN)  x  (UF seduta  ÷  peso post)]
J Am Soc Nephrol 1993 Nov;4(5):1205-13 
</t>
        </r>
        <r>
          <rPr>
            <b/>
            <sz val="8"/>
            <color indexed="10"/>
            <rFont val="Tahoma"/>
            <family val="2"/>
          </rPr>
          <t>Formula per il calcolo della Urea Reduction Ratio (URR)</t>
        </r>
        <r>
          <rPr>
            <sz val="8"/>
            <rFont val="Tahoma"/>
            <family val="0"/>
          </rPr>
          <t xml:space="preserve">
URR = (1-[postBUN / preBUN]) x 100
Manual of Clinical Dialysis; Science Press Ed. 1999
</t>
        </r>
        <r>
          <rPr>
            <b/>
            <sz val="8"/>
            <color indexed="10"/>
            <rFont val="Tahoma"/>
            <family val="2"/>
          </rPr>
          <t>Formula semplificata di Lighfoot per il calcolo del protein catabolic rate normalizzato (nPCR)</t>
        </r>
        <r>
          <rPr>
            <sz val="8"/>
            <rFont val="Tahoma"/>
            <family val="0"/>
          </rPr>
          <t xml:space="preserve">
nPCR = 0.0136 x KT/V x[( preBUN + post BUN) ÷ 2]+ 0.251
J Am Soc Nephrol 1993;4:363.</t>
        </r>
      </text>
    </comment>
  </commentList>
</comments>
</file>

<file path=xl/comments8.xml><?xml version="1.0" encoding="utf-8"?>
<comments xmlns="http://schemas.openxmlformats.org/spreadsheetml/2006/main">
  <authors>
    <author>Morrone</author>
  </authors>
  <commentList>
    <comment ref="A6" authorId="0">
      <text>
        <r>
          <rPr>
            <sz val="8"/>
            <rFont val="Tahoma"/>
            <family val="0"/>
          </rPr>
          <t xml:space="preserve">mg/dl
</t>
        </r>
      </text>
    </comment>
    <comment ref="A7" authorId="0">
      <text>
        <r>
          <rPr>
            <sz val="8"/>
            <rFont val="Tahoma"/>
            <family val="0"/>
          </rPr>
          <t xml:space="preserve">in mg/dl. Al termine della seduta regolare UF=0, Qb=100 ml/min: Dopo 10'' prelievo da linea arteriosa
</t>
        </r>
      </text>
    </comment>
    <comment ref="A11" authorId="0">
      <text>
        <r>
          <rPr>
            <sz val="8"/>
            <rFont val="Tahoma"/>
            <family val="0"/>
          </rPr>
          <t xml:space="preserve">Clearance residua dell'urea (se c'è)
</t>
        </r>
      </text>
    </comment>
    <comment ref="A12" authorId="0">
      <text>
        <r>
          <rPr>
            <sz val="8"/>
            <rFont val="Tahoma"/>
            <family val="0"/>
          </rPr>
          <t>seduta dialitica successiva</t>
        </r>
      </text>
    </comment>
    <comment ref="A15" authorId="0">
      <text>
        <r>
          <rPr>
            <sz val="8"/>
            <rFont val="Tahoma"/>
            <family val="0"/>
          </rPr>
          <t xml:space="preserve">Single pool KT/V. Cioè KT/V allo stacco, che non tiene conto del rebound post-dialitico dell'urea (modello monocompartimentale).
</t>
        </r>
      </text>
    </comment>
    <comment ref="B16" authorId="0">
      <text>
        <r>
          <rPr>
            <sz val="8"/>
            <rFont val="Tahoma"/>
            <family val="0"/>
          </rPr>
          <t xml:space="preserve">accettabile se &lt; 50 mg/dl
</t>
        </r>
      </text>
    </comment>
    <comment ref="C18" authorId="0">
      <text>
        <r>
          <rPr>
            <b/>
            <sz val="8"/>
            <color indexed="10"/>
            <rFont val="Tahoma"/>
            <family val="2"/>
          </rPr>
          <t>TACurea</t>
        </r>
        <r>
          <rPr>
            <sz val="8"/>
            <rFont val="Tahoma"/>
            <family val="0"/>
          </rPr>
          <t xml:space="preserve"> = [(t*(preBUN+postBUN))+(minTID*(preBUN2+postBUN))/2]/(t+minTID)
</t>
        </r>
        <r>
          <rPr>
            <b/>
            <sz val="8"/>
            <color indexed="10"/>
            <rFont val="Tahoma"/>
            <family val="2"/>
          </rPr>
          <t>KT/V</t>
        </r>
        <r>
          <rPr>
            <sz val="8"/>
            <rFont val="Tahoma"/>
            <family val="0"/>
          </rPr>
          <t xml:space="preserve"> = k x t/Vt
</t>
        </r>
        <r>
          <rPr>
            <b/>
            <sz val="8"/>
            <color indexed="10"/>
            <rFont val="Tahoma"/>
            <family val="2"/>
          </rPr>
          <t>PCR</t>
        </r>
        <r>
          <rPr>
            <sz val="8"/>
            <rFont val="Tahoma"/>
            <family val="0"/>
          </rPr>
          <t xml:space="preserve"> = 9,35 x (G/2,14)+0,29 x (Vt/1000)
dove: t=min dialisi, Vt = vol.distrib.urea a fine seduta, G = generaz. Urea</t>
        </r>
      </text>
    </comment>
  </commentList>
</comments>
</file>

<file path=xl/comments9.xml><?xml version="1.0" encoding="utf-8"?>
<comments xmlns="http://schemas.openxmlformats.org/spreadsheetml/2006/main">
  <authors>
    <author>Morrone</author>
  </authors>
  <commentList>
    <comment ref="A3" authorId="0">
      <text>
        <r>
          <rPr>
            <sz val="8"/>
            <rFont val="Tahoma"/>
            <family val="0"/>
          </rPr>
          <t xml:space="preserve">Single pool KT/V
</t>
        </r>
      </text>
    </comment>
    <comment ref="A4" authorId="0">
      <text>
        <r>
          <rPr>
            <sz val="8"/>
            <rFont val="Tahoma"/>
            <family val="0"/>
          </rPr>
          <t xml:space="preserve">in mg/dl. </t>
        </r>
      </text>
    </comment>
    <comment ref="A5" authorId="0">
      <text>
        <r>
          <rPr>
            <sz val="8"/>
            <color indexed="10"/>
            <rFont val="Tahoma"/>
            <family val="2"/>
          </rPr>
          <t>1: prima di 3 sedute/settimanali
2: seconda di 3 sedute/settimanali
3: terza di 3 sedute/settimanali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2"/>
            <rFont val="Tahoma"/>
            <family val="2"/>
          </rPr>
          <t>4: prima di 2 sedute/settimanali
5: seconda di 2 sedute/settimanali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sz val="8"/>
            <rFont val="Tahoma"/>
            <family val="0"/>
          </rPr>
          <t>Clearance residua dell'urea (se c'è)
Se si immette Kru è obbligatorio immettere Vt</t>
        </r>
      </text>
    </comment>
    <comment ref="A7" authorId="0">
      <text>
        <r>
          <rPr>
            <sz val="8"/>
            <rFont val="Tahoma"/>
            <family val="0"/>
          </rPr>
          <t xml:space="preserve">Volume di distribuzione dell'urea a fine dialisi in litri (calcolo antropometrico)
</t>
        </r>
      </text>
    </comment>
    <comment ref="A8" authorId="0">
      <text>
        <r>
          <rPr>
            <sz val="8"/>
            <rFont val="Tahoma"/>
            <family val="0"/>
          </rPr>
          <t xml:space="preserve">Misura l'apporto proteico e correlerebbe con la morbilità e mortalità degli emodializzati. Può essere influenzato da ipercatabolismo ed acidosi. Si ritiene adeguato se compreso </t>
        </r>
        <r>
          <rPr>
            <b/>
            <sz val="8"/>
            <color indexed="10"/>
            <rFont val="Tahoma"/>
            <family val="2"/>
          </rPr>
          <t>tra 1 e 1.2</t>
        </r>
        <r>
          <rPr>
            <sz val="8"/>
            <rFont val="Tahoma"/>
            <family val="0"/>
          </rPr>
          <t xml:space="preserve"> in presenza di KT/V adeguato
</t>
        </r>
      </text>
    </comment>
    <comment ref="C9" authorId="0">
      <text>
        <r>
          <rPr>
            <sz val="8"/>
            <rFont val="Tahoma"/>
            <family val="0"/>
          </rPr>
          <t xml:space="preserve">nPCR = </t>
        </r>
        <r>
          <rPr>
            <b/>
            <sz val="8"/>
            <color indexed="10"/>
            <rFont val="Tahoma"/>
            <family val="2"/>
          </rPr>
          <t>(</t>
        </r>
        <r>
          <rPr>
            <sz val="8"/>
            <rFont val="Tahoma"/>
            <family val="0"/>
          </rPr>
          <t>preBUN/</t>
        </r>
        <r>
          <rPr>
            <b/>
            <sz val="8"/>
            <color indexed="12"/>
            <rFont val="Tahoma"/>
            <family val="2"/>
          </rPr>
          <t>(</t>
        </r>
        <r>
          <rPr>
            <sz val="8"/>
            <rFont val="Tahoma"/>
            <family val="0"/>
          </rPr>
          <t>a+(b*KT/V)+(c/KT/V)</t>
        </r>
        <r>
          <rPr>
            <b/>
            <sz val="8"/>
            <color indexed="12"/>
            <rFont val="Tahoma"/>
            <family val="2"/>
          </rPr>
          <t>)</t>
        </r>
        <r>
          <rPr>
            <b/>
            <sz val="8"/>
            <color indexed="10"/>
            <rFont val="Tahoma"/>
            <family val="2"/>
          </rPr>
          <t>)</t>
        </r>
        <r>
          <rPr>
            <sz val="8"/>
            <rFont val="Tahoma"/>
            <family val="0"/>
          </rPr>
          <t xml:space="preserve">+0,168
Dove a,b,c variano a seconda della sessione dialitica e 
preBUN è sostituito da C'o in caso di Kru&gt;0
Per i riferimenti relativi ad a,b,c e C'o si rimanda al Suppl al G.I.N. n.6 anno 16 Nov-Dic 1999
</t>
        </r>
      </text>
    </comment>
  </commentList>
</comments>
</file>

<file path=xl/sharedStrings.xml><?xml version="1.0" encoding="utf-8"?>
<sst xmlns="http://schemas.openxmlformats.org/spreadsheetml/2006/main" count="556" uniqueCount="337">
  <si>
    <t>Calcoli antropometrici</t>
  </si>
  <si>
    <t>kg peso</t>
  </si>
  <si>
    <t>immissione obbligatoria</t>
  </si>
  <si>
    <t>mt altezza</t>
  </si>
  <si>
    <t>anni di età</t>
  </si>
  <si>
    <t>sesso</t>
  </si>
  <si>
    <t>parte del corpo amputata</t>
  </si>
  <si>
    <t>immissione facoltativa</t>
  </si>
  <si>
    <t>amputazione bilaterale</t>
  </si>
  <si>
    <t>Body mass index</t>
  </si>
  <si>
    <t>risultati</t>
  </si>
  <si>
    <t>Ideal body weight</t>
  </si>
  <si>
    <t>Lean body weight</t>
  </si>
  <si>
    <r>
      <t>Body surface area (m</t>
    </r>
    <r>
      <rPr>
        <vertAlign val="superscript"/>
        <sz val="10"/>
        <color indexed="10"/>
        <rFont val="Arial"/>
        <family val="0"/>
      </rPr>
      <t>2</t>
    </r>
    <r>
      <rPr>
        <sz val="10"/>
        <color indexed="10"/>
        <rFont val="Arial"/>
        <family val="0"/>
      </rPr>
      <t>)</t>
    </r>
  </si>
  <si>
    <t>Total body water (Lt)</t>
  </si>
  <si>
    <t>Kg peso amputati</t>
  </si>
  <si>
    <t>Formule</t>
  </si>
  <si>
    <t>preBSA</t>
  </si>
  <si>
    <t>inchies altezza oltre 5 ft</t>
  </si>
  <si>
    <r>
      <t>Kg peso</t>
    </r>
    <r>
      <rPr>
        <vertAlign val="superscript"/>
        <sz val="10"/>
        <rFont val="Arial"/>
        <family val="2"/>
      </rPr>
      <t>2</t>
    </r>
  </si>
  <si>
    <r>
      <t>(100*mtaltezza)</t>
    </r>
    <r>
      <rPr>
        <vertAlign val="superscript"/>
        <sz val="10"/>
        <rFont val="Arial"/>
        <family val="2"/>
      </rPr>
      <t>2</t>
    </r>
  </si>
  <si>
    <t>altezza cm</t>
  </si>
  <si>
    <t>altezza inchies</t>
  </si>
  <si>
    <t>Body Mass Index</t>
  </si>
  <si>
    <t>Body surface area</t>
  </si>
  <si>
    <t>Lean F1</t>
  </si>
  <si>
    <t>lean BW</t>
  </si>
  <si>
    <t>Total body water</t>
  </si>
  <si>
    <t>Lean F2</t>
  </si>
  <si>
    <t>Ideal M</t>
  </si>
  <si>
    <t>ideal BW</t>
  </si>
  <si>
    <t>Ideal F</t>
  </si>
  <si>
    <t>Kg peso elev a 0,425</t>
  </si>
  <si>
    <t>Cm altezza elev a 0,725</t>
  </si>
  <si>
    <t>con mono Pi</t>
  </si>
  <si>
    <t>con bi Pi</t>
  </si>
  <si>
    <t>TBW M</t>
  </si>
  <si>
    <t>TBW F</t>
  </si>
  <si>
    <t xml:space="preserve">TBW </t>
  </si>
  <si>
    <t>vuoto BMI</t>
  </si>
  <si>
    <t>vuoto IBW</t>
  </si>
  <si>
    <t>vuoto LBW</t>
  </si>
  <si>
    <t>vuoto BSA</t>
  </si>
  <si>
    <t>vuoto TBW</t>
  </si>
  <si>
    <t>a</t>
  </si>
  <si>
    <t>b</t>
  </si>
  <si>
    <t>mano</t>
  </si>
  <si>
    <t>Avambraccio</t>
  </si>
  <si>
    <t>Braccio</t>
  </si>
  <si>
    <t>Arto inf. alla coscia</t>
  </si>
  <si>
    <t>Arto inf. sopra il ginocchio</t>
  </si>
  <si>
    <t>Arto inf. sotto il ginocchio</t>
  </si>
  <si>
    <t>Piede</t>
  </si>
  <si>
    <t>a &amp; b</t>
  </si>
  <si>
    <t>biamputazione</t>
  </si>
  <si>
    <t>NO</t>
  </si>
  <si>
    <t>SI</t>
  </si>
  <si>
    <t>Pi</t>
  </si>
  <si>
    <t>Watson con Pi (Vi)</t>
  </si>
  <si>
    <t>% BW</t>
  </si>
  <si>
    <t>TBW dopo amputazione</t>
  </si>
  <si>
    <t>BSAi</t>
  </si>
  <si>
    <t>BSA dopo amputazione</t>
  </si>
  <si>
    <t>BSA se non fosse amputato</t>
  </si>
  <si>
    <t>BSA amputati</t>
  </si>
  <si>
    <t>pre BSA cumulativo</t>
  </si>
  <si>
    <t>BSA cumulativo</t>
  </si>
  <si>
    <t>TBW se non fosse amputato</t>
  </si>
  <si>
    <t>TBW amputati</t>
  </si>
  <si>
    <t>pre TBW cumulativo</t>
  </si>
  <si>
    <t>TBW cumulativo</t>
  </si>
  <si>
    <t>BMI non amputato</t>
  </si>
  <si>
    <t>BMI amputato</t>
  </si>
  <si>
    <t>sodio</t>
  </si>
  <si>
    <t>Calcolatore equilibrio acido-base</t>
  </si>
  <si>
    <t>pH   (7,38-7,44)</t>
  </si>
  <si>
    <t>HCO3  (21-28)</t>
  </si>
  <si>
    <t>CO2  (35-45)</t>
  </si>
  <si>
    <t>Na</t>
  </si>
  <si>
    <t>immissione facolatativa</t>
  </si>
  <si>
    <t>Cl</t>
  </si>
  <si>
    <t>Kg di peso corporeo</t>
  </si>
  <si>
    <t>Diagnosi</t>
  </si>
  <si>
    <t>gap anionico (range 8-16)</t>
  </si>
  <si>
    <t>HCO3 da dare (mEq)</t>
  </si>
  <si>
    <t>HCO3 da dare (fl 20 mEq)</t>
  </si>
  <si>
    <t>low CO2</t>
  </si>
  <si>
    <t>high CO2</t>
  </si>
  <si>
    <t>N CO2</t>
  </si>
  <si>
    <t>val CO2</t>
  </si>
  <si>
    <t>N CO2 bis</t>
  </si>
  <si>
    <t>low CO2 bis</t>
  </si>
  <si>
    <t>low HCO3</t>
  </si>
  <si>
    <t>high HCO3</t>
  </si>
  <si>
    <t>N HCO3</t>
  </si>
  <si>
    <t>val HCO3</t>
  </si>
  <si>
    <t>N HCO3 bis</t>
  </si>
  <si>
    <t>low HCO3 bis</t>
  </si>
  <si>
    <t>high HCO3 bis</t>
  </si>
  <si>
    <t>low pH</t>
  </si>
  <si>
    <t>high pH</t>
  </si>
  <si>
    <t>Nb pH</t>
  </si>
  <si>
    <t>Na pH</t>
  </si>
  <si>
    <t>val pH</t>
  </si>
  <si>
    <t>Nb pH bis</t>
  </si>
  <si>
    <t>Na pH bis</t>
  </si>
  <si>
    <t>low pH bis</t>
  </si>
  <si>
    <t>high pH bis</t>
  </si>
  <si>
    <t>sommatoria</t>
  </si>
  <si>
    <t>acidosi metabolica scompensata</t>
  </si>
  <si>
    <t>acidosi respiratoria scompensata</t>
  </si>
  <si>
    <t>difficoltà interpretative:verificare correttezza procedura</t>
  </si>
  <si>
    <t>acidosi mista metabolica e respiratoria</t>
  </si>
  <si>
    <t>alcalosi metabolica scompensata</t>
  </si>
  <si>
    <t>alcalosi respiratoria scompensata</t>
  </si>
  <si>
    <t>alcalosi mista metabolica e respiratoria</t>
  </si>
  <si>
    <t>acidosi metabolica e alcalosi respiratoria in reciproco compenso (verosimilmente acidosi metab.compensata)</t>
  </si>
  <si>
    <t>alcalosi respiratoria e acidosi metabolica in reciproco compenso (verosimilmente alcalosi resp.compensata)</t>
  </si>
  <si>
    <r>
      <t>acidosi respiratoria e alcalosi metabolica in reciproco compenso (verosimilmente acidosi resp.compensata</t>
    </r>
    <r>
      <rPr>
        <sz val="10"/>
        <rFont val="Arial"/>
        <family val="0"/>
      </rPr>
      <t>)</t>
    </r>
  </si>
  <si>
    <t>alcalosi metabolica e acidosi respiratoria in reciproco compenso (verosimilmente alcalosi metab.compensata)</t>
  </si>
  <si>
    <t>E.A.B. normale</t>
  </si>
  <si>
    <t>acidosi metabolica con compenso inefficace</t>
  </si>
  <si>
    <t>acidosi (difficoltà interpretative: verificare correttezza procedura)</t>
  </si>
  <si>
    <t>acidosi respiratoria con compenso inefficace</t>
  </si>
  <si>
    <t>alcalosi respiratoria con compenso inefficace</t>
  </si>
  <si>
    <t>alcalosi (difficoltà interpretative: verificare correttezza procedura)</t>
  </si>
  <si>
    <t>alcalosi metabolica con compenso inefficace</t>
  </si>
  <si>
    <t>E.A.B. normale (iperventilazione)</t>
  </si>
  <si>
    <t>difficoltà interpretative: verificare correttezza procedura</t>
  </si>
  <si>
    <t>E.A.B. normale con difficoltà interpretative: verificare correttezza procedura</t>
  </si>
  <si>
    <t>E.A.B. normale (ipercapnia)</t>
  </si>
  <si>
    <t>gap anionico vuoto</t>
  </si>
  <si>
    <t>Bicarb</t>
  </si>
  <si>
    <t>potass</t>
  </si>
  <si>
    <t>somma</t>
  </si>
  <si>
    <t>concatena1</t>
  </si>
  <si>
    <t>concatena2</t>
  </si>
  <si>
    <t>concatena3</t>
  </si>
  <si>
    <t>concatena4</t>
  </si>
  <si>
    <t>concatena totale</t>
  </si>
  <si>
    <t>gap anionico</t>
  </si>
  <si>
    <t>HCO3 da dare</t>
  </si>
  <si>
    <t>fl HCO3 da dare</t>
  </si>
  <si>
    <t>Calcolo delle infusioni</t>
  </si>
  <si>
    <t>dose da somministrare</t>
  </si>
  <si>
    <t>unità misura dose</t>
  </si>
  <si>
    <t>per Kg</t>
  </si>
  <si>
    <t>per mq</t>
  </si>
  <si>
    <t>per tempo(min)</t>
  </si>
  <si>
    <t>confezione:dose.</t>
  </si>
  <si>
    <t>confezione: unità misura</t>
  </si>
  <si>
    <t>confezione: ml</t>
  </si>
  <si>
    <t>peso (Kg)</t>
  </si>
  <si>
    <t>superf. corp.(mq)</t>
  </si>
  <si>
    <t>ore infusione</t>
  </si>
  <si>
    <t>ml infusione</t>
  </si>
  <si>
    <t>n° conf.</t>
  </si>
  <si>
    <t>ml confez.</t>
  </si>
  <si>
    <t>vel. gtt/m'</t>
  </si>
  <si>
    <t>vel. ml/h</t>
  </si>
  <si>
    <t>vel. ml/m'</t>
  </si>
  <si>
    <t>minuti eff. di infusione</t>
  </si>
  <si>
    <t>Pro Kg o pro mq</t>
  </si>
  <si>
    <t>Pro min</t>
  </si>
  <si>
    <t xml:space="preserve">Unita misura f. </t>
  </si>
  <si>
    <t>f</t>
  </si>
  <si>
    <t>grammo</t>
  </si>
  <si>
    <t>decigrammo</t>
  </si>
  <si>
    <t>centigrammo</t>
  </si>
  <si>
    <t>milligrammo</t>
  </si>
  <si>
    <t>microgrammo</t>
  </si>
  <si>
    <t>nanogrammo</t>
  </si>
  <si>
    <t>picogrammo</t>
  </si>
  <si>
    <t>da</t>
  </si>
  <si>
    <t>dose f. da dare (in mg)</t>
  </si>
  <si>
    <t>mg f. da dare</t>
  </si>
  <si>
    <t>riportati a peso (in Kg) o BSA (in mq)</t>
  </si>
  <si>
    <t xml:space="preserve"> e riportati al tempo (min)</t>
  </si>
  <si>
    <t>riportati ad entrambi (in mg)</t>
  </si>
  <si>
    <t xml:space="preserve">Unita misura conf. </t>
  </si>
  <si>
    <t>cc confez.</t>
  </si>
  <si>
    <t>vuoti</t>
  </si>
  <si>
    <t>dose f.</t>
  </si>
  <si>
    <t>unità misura f.</t>
  </si>
  <si>
    <t>dose conf.</t>
  </si>
  <si>
    <t>unità misura conf.</t>
  </si>
  <si>
    <t>errori</t>
  </si>
  <si>
    <t>unità misura errate</t>
  </si>
  <si>
    <t>correggi unità misura</t>
  </si>
  <si>
    <t>inseriti BSA e peso</t>
  </si>
  <si>
    <t>scegli: o per mq o per Kg</t>
  </si>
  <si>
    <t>per chilo senza peso</t>
  </si>
  <si>
    <t>immetti il peso</t>
  </si>
  <si>
    <t>per mq senza BSA</t>
  </si>
  <si>
    <t>immetti la superf. corporea</t>
  </si>
  <si>
    <t>Calcolatore filtrato glomerulare</t>
  </si>
  <si>
    <t>creatininemia</t>
  </si>
  <si>
    <t>età (anni)</t>
  </si>
  <si>
    <t>razza nera (n)</t>
  </si>
  <si>
    <t>cm altezza</t>
  </si>
  <si>
    <t>Cockroft-Gault</t>
  </si>
  <si>
    <t>MDRD abbreviata/1.73mq</t>
  </si>
  <si>
    <t>Cockroft-Gault/1.73 mq</t>
  </si>
  <si>
    <t>MDRD abbreviata</t>
  </si>
  <si>
    <t>Cockroft numeratore</t>
  </si>
  <si>
    <t>Cockroft denominatore</t>
  </si>
  <si>
    <t>Cockroft M</t>
  </si>
  <si>
    <t>Cockroft F correz.</t>
  </si>
  <si>
    <t>Scr elev a -1154</t>
  </si>
  <si>
    <t>età elev a -0,203</t>
  </si>
  <si>
    <t>MDRD M e B</t>
  </si>
  <si>
    <t>MDRD F correz</t>
  </si>
  <si>
    <t>MDRD N correz</t>
  </si>
  <si>
    <t>peso elev a 0,425</t>
  </si>
  <si>
    <t>altezza elev a 0,725</t>
  </si>
  <si>
    <t>body surface mq</t>
  </si>
  <si>
    <t>MDRD normalizz</t>
  </si>
  <si>
    <t>Cockroft normalizz</t>
  </si>
  <si>
    <t>sideremia (mcg/dl)</t>
  </si>
  <si>
    <t>TSAT %</t>
  </si>
  <si>
    <t>Hb voluta (g/dl)</t>
  </si>
  <si>
    <t>Hb attuale (g/dl)</t>
  </si>
  <si>
    <t>mg di Fe da dare</t>
  </si>
  <si>
    <t>Kg peso</t>
  </si>
  <si>
    <t>Calcolatore dell' introito proteico giornaliero</t>
  </si>
  <si>
    <t>azoturia (g/die)</t>
  </si>
  <si>
    <t>proteinuria</t>
  </si>
  <si>
    <t>Introito proteico</t>
  </si>
  <si>
    <t>UUN</t>
  </si>
  <si>
    <t>azoturia vuoto</t>
  </si>
  <si>
    <t>peso vuoto</t>
  </si>
  <si>
    <t>30 mg/Kg</t>
  </si>
  <si>
    <t>intake proteico</t>
  </si>
  <si>
    <t>pre-azotemia</t>
  </si>
  <si>
    <t>URR %</t>
  </si>
  <si>
    <t>nPCR</t>
  </si>
  <si>
    <t>pre BUN</t>
  </si>
  <si>
    <t>R</t>
  </si>
  <si>
    <t>URR</t>
  </si>
  <si>
    <t>PCR</t>
  </si>
  <si>
    <t>0,0136*KT/V (I)</t>
  </si>
  <si>
    <t>(pre+post BUN)/2</t>
  </si>
  <si>
    <t>KT/V</t>
  </si>
  <si>
    <t>Calcolatore accurato di nPCR (HD)</t>
  </si>
  <si>
    <t>KTV</t>
  </si>
  <si>
    <t>sessione dialitica</t>
  </si>
  <si>
    <t>Kru (ml/min)</t>
  </si>
  <si>
    <t>Vt (se Kru&gt;0)</t>
  </si>
  <si>
    <t>nPCR (g/Kg/die)</t>
  </si>
  <si>
    <t>C'o trisett.</t>
  </si>
  <si>
    <t>C'o bisett.</t>
  </si>
  <si>
    <t>C'o tri/bisettim.</t>
  </si>
  <si>
    <t>Kru</t>
  </si>
  <si>
    <t>Vt</t>
  </si>
  <si>
    <t xml:space="preserve">sommatoria </t>
  </si>
  <si>
    <t>c</t>
  </si>
  <si>
    <t>Calcolatore del ricircolo (%)</t>
  </si>
  <si>
    <t>Azotemia periferia</t>
  </si>
  <si>
    <t>Azotemia arteria</t>
  </si>
  <si>
    <t>Azotemia vena</t>
  </si>
  <si>
    <t>Ricircolo %</t>
  </si>
  <si>
    <t>Ricircolo%</t>
  </si>
  <si>
    <t>m</t>
  </si>
  <si>
    <t>mg</t>
  </si>
  <si>
    <t>Kru/V</t>
  </si>
  <si>
    <t>transferrina (mg/dl)</t>
  </si>
  <si>
    <t>sesso (m o f)</t>
  </si>
  <si>
    <t xml:space="preserve">TSAT% </t>
  </si>
  <si>
    <t>Calcolatore della cinetica dell' urea a 2 punti (HD)</t>
  </si>
  <si>
    <t>post-azotemia</t>
  </si>
  <si>
    <t>UF lt</t>
  </si>
  <si>
    <t>peso post Kg</t>
  </si>
  <si>
    <t>min di dialisi</t>
  </si>
  <si>
    <t>spKT/V</t>
  </si>
  <si>
    <t>T in ore</t>
  </si>
  <si>
    <t>post BUN</t>
  </si>
  <si>
    <r>
      <t>post/pre BUN (</t>
    </r>
    <r>
      <rPr>
        <sz val="10"/>
        <color indexed="10"/>
        <rFont val="Arial"/>
        <family val="2"/>
      </rPr>
      <t>R</t>
    </r>
    <r>
      <rPr>
        <sz val="10"/>
        <rFont val="Arial"/>
        <family val="0"/>
      </rPr>
      <t>)</t>
    </r>
  </si>
  <si>
    <t>[-LN (R-0,03)]</t>
  </si>
  <si>
    <t>serve a Daurgirdas senza T</t>
  </si>
  <si>
    <t>Calcoli Daurgirdas</t>
  </si>
  <si>
    <t>[4-(3,5*R)]</t>
  </si>
  <si>
    <t>serve a Daurgirdas con e senza T</t>
  </si>
  <si>
    <t>UF/peso post</t>
  </si>
  <si>
    <t>"-LN (R - 0,008T)</t>
  </si>
  <si>
    <t>serve a Daurgirdas con T</t>
  </si>
  <si>
    <t>Daurgirdas senzaT</t>
  </si>
  <si>
    <t>parametri della cinetica a due punti</t>
  </si>
  <si>
    <t>Daurgirdas con T</t>
  </si>
  <si>
    <t>Daurgirdas +/-T</t>
  </si>
  <si>
    <t>PCR Lighfoot</t>
  </si>
  <si>
    <t>peso Kg</t>
  </si>
  <si>
    <t>min dialisi</t>
  </si>
  <si>
    <t>SMM URR</t>
  </si>
  <si>
    <t>SMM KT/V</t>
  </si>
  <si>
    <t>SMM PCR</t>
  </si>
  <si>
    <t>Calcolatore della cinetica dell' urea a 3 punti (HD)</t>
  </si>
  <si>
    <t>età anni</t>
  </si>
  <si>
    <t>azotemia pre HD2</t>
  </si>
  <si>
    <t>Kg peso pre HD2</t>
  </si>
  <si>
    <t>ore interdialisi</t>
  </si>
  <si>
    <t>TAC urea mg/dl</t>
  </si>
  <si>
    <t>Statura cm</t>
  </si>
  <si>
    <t>Età anni</t>
  </si>
  <si>
    <t>Sesso M/F</t>
  </si>
  <si>
    <t>Peso preHD (Kg)</t>
  </si>
  <si>
    <t>Peso postHD (Kg)</t>
  </si>
  <si>
    <t>Peso preHD2 (Kg)</t>
  </si>
  <si>
    <t>Azotemia pre HD (mg/dl)</t>
  </si>
  <si>
    <t>Azotemia postHD (mg/dl)</t>
  </si>
  <si>
    <t>Azotemia preHD2 (mg/dl)</t>
  </si>
  <si>
    <t>durata HD (min)</t>
  </si>
  <si>
    <t>TID (min)</t>
  </si>
  <si>
    <t>minuti interdialisi</t>
  </si>
  <si>
    <t>preBUN (mg/dl)</t>
  </si>
  <si>
    <t>postBUN (mg/dl)</t>
  </si>
  <si>
    <t>preBUN2 (mg/dl)</t>
  </si>
  <si>
    <t>Azotemia preHD / 93</t>
  </si>
  <si>
    <t>Azotemia postHD / 93</t>
  </si>
  <si>
    <t>Azotemia preHD2 / 93</t>
  </si>
  <si>
    <t>Volume preHD (ml)</t>
  </si>
  <si>
    <t>Volume postHD (ml)</t>
  </si>
  <si>
    <t>Volume preHD2 (ml)</t>
  </si>
  <si>
    <t>EUD   Estrazione ureica dialitica (mg)</t>
  </si>
  <si>
    <t>EUUD   Estrazione ureica urinaria dialitica (mg)</t>
  </si>
  <si>
    <t>EUID   Estrazione ureica interdialitica (mg)</t>
  </si>
  <si>
    <t>Clearance dialisi (K) ml/min</t>
  </si>
  <si>
    <t>Generazione urea (G) mg/min</t>
  </si>
  <si>
    <t>Kt/V</t>
  </si>
  <si>
    <t>PCR g/die</t>
  </si>
  <si>
    <t>pcr (g/Kg/die)</t>
  </si>
  <si>
    <t>TAC urea (mg/dl)</t>
  </si>
  <si>
    <t>TACurea = [(t*(preBUN+postBUN))+(minTID*(preBUN2+postBUN))/2]/(t+minTID)</t>
  </si>
  <si>
    <t>KT/V = k x t/Vt</t>
  </si>
  <si>
    <t>PCR = 9,35 x (G/2,14)+0,29 x (Vt/1000)</t>
  </si>
  <si>
    <t>k = (estraz.ureica dial. X log((azotemia pre/93)/Vo))/(t*((azotemia pre/93)-(azotemia post/93)))</t>
  </si>
  <si>
    <t>G = ((azot.pre/93)*Vo2-(azot.post/93)*Vt+estraz.ureica interdialitica)/TID</t>
  </si>
  <si>
    <t>A cura di: dott.Luigi Morrone - Benevento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</si>
</sst>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d/m/yy;@"/>
  </numFmts>
  <fonts count="31">
    <font>
      <sz val="10"/>
      <name val="Arial"/>
      <family val="0"/>
    </font>
    <font>
      <sz val="10"/>
      <color indexed="21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color indexed="10"/>
      <name val="Arial"/>
      <family val="0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vertAlign val="superscript"/>
      <sz val="8"/>
      <name val="Tahoma"/>
      <family val="2"/>
    </font>
    <font>
      <sz val="8"/>
      <color indexed="12"/>
      <name val="Tahoma"/>
      <family val="2"/>
    </font>
    <font>
      <sz val="8"/>
      <color indexed="48"/>
      <name val="Tahoma"/>
      <family val="2"/>
    </font>
    <font>
      <sz val="10"/>
      <color indexed="8"/>
      <name val="Arial"/>
      <family val="2"/>
    </font>
    <font>
      <sz val="10"/>
      <color indexed="18"/>
      <name val="Arial"/>
      <family val="0"/>
    </font>
    <font>
      <b/>
      <sz val="10"/>
      <color indexed="10"/>
      <name val="Arial"/>
      <family val="2"/>
    </font>
    <font>
      <sz val="8"/>
      <color indexed="10"/>
      <name val="Tahoma"/>
      <family val="2"/>
    </font>
    <font>
      <b/>
      <vertAlign val="superscript"/>
      <sz val="8"/>
      <color indexed="10"/>
      <name val="Tahoma"/>
      <family val="2"/>
    </font>
    <font>
      <sz val="10"/>
      <color indexed="17"/>
      <name val="Arial"/>
      <family val="0"/>
    </font>
    <font>
      <b/>
      <sz val="8"/>
      <color indexed="12"/>
      <name val="Tahoma"/>
      <family val="2"/>
    </font>
    <font>
      <sz val="10"/>
      <color indexed="57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21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2" fontId="1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3" fillId="2" borderId="4" xfId="0" applyNumberFormat="1" applyFont="1" applyFill="1" applyBorder="1" applyAlignment="1">
      <alignment horizontal="left"/>
    </xf>
    <xf numFmtId="2" fontId="2" fillId="2" borderId="5" xfId="0" applyNumberFormat="1" applyFont="1" applyFill="1" applyBorder="1" applyAlignment="1">
      <alignment/>
    </xf>
    <xf numFmtId="2" fontId="2" fillId="2" borderId="6" xfId="0" applyNumberFormat="1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2" fontId="4" fillId="0" borderId="7" xfId="0" applyNumberFormat="1" applyFont="1" applyBorder="1" applyAlignment="1">
      <alignment/>
    </xf>
    <xf numFmtId="2" fontId="0" fillId="3" borderId="8" xfId="0" applyNumberFormat="1" applyFill="1" applyBorder="1" applyAlignment="1">
      <alignment horizontal="left"/>
    </xf>
    <xf numFmtId="2" fontId="0" fillId="2" borderId="0" xfId="0" applyNumberFormat="1" applyFont="1" applyFill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2" fontId="4" fillId="0" borderId="9" xfId="0" applyNumberFormat="1" applyFont="1" applyBorder="1" applyAlignment="1">
      <alignment/>
    </xf>
    <xf numFmtId="2" fontId="0" fillId="3" borderId="10" xfId="0" applyNumberFormat="1" applyFill="1" applyBorder="1" applyAlignment="1">
      <alignment horizontal="left"/>
    </xf>
    <xf numFmtId="2" fontId="0" fillId="2" borderId="0" xfId="0" applyNumberFormat="1" applyFont="1" applyFill="1" applyBorder="1" applyAlignment="1">
      <alignment/>
    </xf>
    <xf numFmtId="2" fontId="4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2" fontId="0" fillId="4" borderId="10" xfId="0" applyNumberForma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  <xf numFmtId="2" fontId="3" fillId="0" borderId="7" xfId="0" applyNumberFormat="1" applyFont="1" applyBorder="1" applyAlignment="1">
      <alignment/>
    </xf>
    <xf numFmtId="2" fontId="0" fillId="5" borderId="10" xfId="0" applyNumberFormat="1" applyFill="1" applyBorder="1" applyAlignment="1">
      <alignment horizontal="left"/>
    </xf>
    <xf numFmtId="2" fontId="3" fillId="0" borderId="9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2" fontId="7" fillId="6" borderId="10" xfId="0" applyNumberFormat="1" applyFont="1" applyFill="1" applyBorder="1" applyAlignment="1">
      <alignment horizontal="left"/>
    </xf>
    <xf numFmtId="2" fontId="0" fillId="2" borderId="1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2" fontId="9" fillId="2" borderId="0" xfId="0" applyNumberFormat="1" applyFont="1" applyFill="1" applyAlignment="1">
      <alignment/>
    </xf>
    <xf numFmtId="2" fontId="9" fillId="2" borderId="0" xfId="0" applyNumberFormat="1" applyFont="1" applyFill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2" borderId="0" xfId="0" applyNumberFormat="1" applyFont="1" applyFill="1" applyAlignment="1">
      <alignment horizontal="left"/>
    </xf>
    <xf numFmtId="2" fontId="0" fillId="2" borderId="10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2" borderId="5" xfId="0" applyNumberFormat="1" applyFont="1" applyFill="1" applyBorder="1" applyAlignment="1">
      <alignment horizontal="center"/>
    </xf>
    <xf numFmtId="2" fontId="0" fillId="2" borderId="6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/>
    </xf>
    <xf numFmtId="2" fontId="0" fillId="2" borderId="13" xfId="0" applyNumberFormat="1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12" xfId="0" applyNumberFormat="1" applyFon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2" borderId="6" xfId="0" applyNumberFormat="1" applyFont="1" applyFill="1" applyBorder="1" applyAlignment="1">
      <alignment/>
    </xf>
    <xf numFmtId="2" fontId="0" fillId="2" borderId="0" xfId="0" applyNumberFormat="1" applyFill="1" applyAlignment="1">
      <alignment horizontal="left"/>
    </xf>
    <xf numFmtId="2" fontId="3" fillId="2" borderId="0" xfId="0" applyNumberFormat="1" applyFont="1" applyFill="1" applyAlignment="1">
      <alignment/>
    </xf>
    <xf numFmtId="2" fontId="7" fillId="2" borderId="0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4" fillId="0" borderId="0" xfId="0" applyNumberFormat="1" applyFont="1" applyAlignment="1">
      <alignment/>
    </xf>
    <xf numFmtId="2" fontId="17" fillId="3" borderId="8" xfId="0" applyNumberFormat="1" applyFont="1" applyFill="1" applyBorder="1" applyAlignment="1" applyProtection="1">
      <alignment horizontal="left"/>
      <protection locked="0"/>
    </xf>
    <xf numFmtId="2" fontId="17" fillId="3" borderId="10" xfId="0" applyNumberFormat="1" applyFont="1" applyFill="1" applyBorder="1" applyAlignment="1" applyProtection="1">
      <alignment horizontal="left"/>
      <protection locked="0"/>
    </xf>
    <xf numFmtId="2" fontId="4" fillId="0" borderId="5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0" fillId="4" borderId="10" xfId="0" applyNumberFormat="1" applyFill="1" applyBorder="1" applyAlignment="1" applyProtection="1">
      <alignment horizontal="left"/>
      <protection locked="0"/>
    </xf>
    <xf numFmtId="2" fontId="5" fillId="0" borderId="14" xfId="0" applyNumberFormat="1" applyFont="1" applyBorder="1" applyAlignment="1">
      <alignment/>
    </xf>
    <xf numFmtId="2" fontId="3" fillId="0" borderId="15" xfId="0" applyNumberFormat="1" applyFont="1" applyFill="1" applyBorder="1" applyAlignment="1">
      <alignment vertical="top"/>
    </xf>
    <xf numFmtId="2" fontId="16" fillId="5" borderId="10" xfId="0" applyNumberFormat="1" applyFont="1" applyFill="1" applyBorder="1" applyAlignment="1">
      <alignment horizontal="left" vertical="top" wrapText="1"/>
    </xf>
    <xf numFmtId="2" fontId="0" fillId="5" borderId="10" xfId="0" applyNumberFormat="1" applyFill="1" applyBorder="1" applyAlignment="1">
      <alignment horizontal="left" vertical="top"/>
    </xf>
    <xf numFmtId="2" fontId="3" fillId="0" borderId="16" xfId="0" applyNumberFormat="1" applyFont="1" applyFill="1" applyBorder="1" applyAlignment="1">
      <alignment/>
    </xf>
    <xf numFmtId="2" fontId="16" fillId="5" borderId="10" xfId="0" applyNumberFormat="1" applyFont="1" applyFill="1" applyBorder="1" applyAlignment="1">
      <alignment horizontal="left"/>
    </xf>
    <xf numFmtId="2" fontId="3" fillId="0" borderId="17" xfId="0" applyNumberFormat="1" applyFont="1" applyFill="1" applyBorder="1" applyAlignment="1">
      <alignment/>
    </xf>
    <xf numFmtId="2" fontId="3" fillId="2" borderId="0" xfId="0" applyNumberFormat="1" applyFont="1" applyFill="1" applyAlignment="1">
      <alignment/>
    </xf>
    <xf numFmtId="2" fontId="7" fillId="2" borderId="10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7" borderId="0" xfId="0" applyNumberFormat="1" applyFill="1" applyAlignment="1">
      <alignment horizontal="center"/>
    </xf>
    <xf numFmtId="2" fontId="0" fillId="2" borderId="0" xfId="0" applyNumberFormat="1" applyFill="1" applyAlignment="1">
      <alignment horizontal="right"/>
    </xf>
    <xf numFmtId="2" fontId="0" fillId="0" borderId="0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/>
    </xf>
    <xf numFmtId="2" fontId="4" fillId="0" borderId="7" xfId="0" applyNumberFormat="1" applyFont="1" applyFill="1" applyBorder="1" applyAlignment="1">
      <alignment/>
    </xf>
    <xf numFmtId="2" fontId="4" fillId="0" borderId="9" xfId="0" applyNumberFormat="1" applyFont="1" applyFill="1" applyBorder="1" applyAlignment="1">
      <alignment/>
    </xf>
    <xf numFmtId="2" fontId="18" fillId="2" borderId="0" xfId="0" applyNumberFormat="1" applyFont="1" applyFill="1" applyBorder="1" applyAlignment="1">
      <alignment/>
    </xf>
    <xf numFmtId="2" fontId="5" fillId="0" borderId="7" xfId="0" applyNumberFormat="1" applyFont="1" applyFill="1" applyBorder="1" applyAlignment="1">
      <alignment/>
    </xf>
    <xf numFmtId="2" fontId="5" fillId="0" borderId="9" xfId="0" applyNumberFormat="1" applyFont="1" applyFill="1" applyBorder="1" applyAlignment="1">
      <alignment/>
    </xf>
    <xf numFmtId="2" fontId="5" fillId="0" borderId="8" xfId="0" applyNumberFormat="1" applyFont="1" applyFill="1" applyBorder="1" applyAlignment="1">
      <alignment/>
    </xf>
    <xf numFmtId="2" fontId="4" fillId="0" borderId="8" xfId="0" applyNumberFormat="1" applyFont="1" applyFill="1" applyBorder="1" applyAlignment="1">
      <alignment/>
    </xf>
    <xf numFmtId="2" fontId="0" fillId="5" borderId="10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left"/>
    </xf>
    <xf numFmtId="2" fontId="16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2" fontId="16" fillId="0" borderId="1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5" xfId="0" applyNumberForma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18" fillId="0" borderId="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0" fillId="2" borderId="5" xfId="0" applyNumberFormat="1" applyFill="1" applyBorder="1" applyAlignment="1">
      <alignment horizontal="center"/>
    </xf>
    <xf numFmtId="2" fontId="4" fillId="0" borderId="11" xfId="0" applyNumberFormat="1" applyFont="1" applyBorder="1" applyAlignment="1">
      <alignment horizontal="left"/>
    </xf>
    <xf numFmtId="2" fontId="5" fillId="0" borderId="8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left"/>
    </xf>
    <xf numFmtId="2" fontId="1" fillId="0" borderId="6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0" fillId="2" borderId="3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2" fontId="5" fillId="0" borderId="7" xfId="0" applyNumberFormat="1" applyFont="1" applyFill="1" applyBorder="1" applyAlignment="1">
      <alignment horizontal="left"/>
    </xf>
    <xf numFmtId="2" fontId="0" fillId="0" borderId="10" xfId="0" applyNumberFormat="1" applyBorder="1" applyAlignment="1">
      <alignment/>
    </xf>
    <xf numFmtId="2" fontId="5" fillId="0" borderId="8" xfId="0" applyNumberFormat="1" applyFont="1" applyFill="1" applyBorder="1" applyAlignment="1">
      <alignment horizontal="left"/>
    </xf>
    <xf numFmtId="2" fontId="3" fillId="0" borderId="8" xfId="0" applyNumberFormat="1" applyFont="1" applyFill="1" applyBorder="1" applyAlignment="1">
      <alignment horizontal="left"/>
    </xf>
    <xf numFmtId="2" fontId="3" fillId="2" borderId="11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left"/>
    </xf>
    <xf numFmtId="2" fontId="7" fillId="6" borderId="8" xfId="0" applyNumberFormat="1" applyFont="1" applyFill="1" applyBorder="1" applyAlignment="1">
      <alignment horizontal="left"/>
    </xf>
    <xf numFmtId="2" fontId="0" fillId="0" borderId="0" xfId="0" applyNumberFormat="1" applyAlignment="1">
      <alignment horizontal="right"/>
    </xf>
    <xf numFmtId="2" fontId="0" fillId="2" borderId="0" xfId="0" applyNumberFormat="1" applyFill="1" applyBorder="1" applyAlignment="1">
      <alignment horizontal="left"/>
    </xf>
    <xf numFmtId="2" fontId="0" fillId="2" borderId="2" xfId="0" applyNumberFormat="1" applyFill="1" applyBorder="1" applyAlignment="1">
      <alignment horizontal="left"/>
    </xf>
    <xf numFmtId="2" fontId="0" fillId="2" borderId="5" xfId="0" applyNumberFormat="1" applyFill="1" applyBorder="1" applyAlignment="1">
      <alignment horizontal="left"/>
    </xf>
    <xf numFmtId="2" fontId="5" fillId="0" borderId="7" xfId="0" applyNumberFormat="1" applyFont="1" applyBorder="1" applyAlignment="1">
      <alignment horizontal="left"/>
    </xf>
    <xf numFmtId="2" fontId="5" fillId="0" borderId="9" xfId="0" applyNumberFormat="1" applyFont="1" applyBorder="1" applyAlignment="1">
      <alignment horizontal="left"/>
    </xf>
    <xf numFmtId="2" fontId="5" fillId="0" borderId="8" xfId="0" applyNumberFormat="1" applyFont="1" applyBorder="1" applyAlignment="1">
      <alignment horizontal="left"/>
    </xf>
    <xf numFmtId="2" fontId="3" fillId="0" borderId="7" xfId="0" applyNumberFormat="1" applyFont="1" applyBorder="1" applyAlignment="1">
      <alignment horizontal="left"/>
    </xf>
    <xf numFmtId="2" fontId="0" fillId="5" borderId="10" xfId="0" applyNumberFormat="1" applyFill="1" applyBorder="1" applyAlignment="1">
      <alignment horizontal="center"/>
    </xf>
    <xf numFmtId="2" fontId="3" fillId="0" borderId="8" xfId="0" applyNumberFormat="1" applyFont="1" applyBorder="1" applyAlignment="1">
      <alignment horizontal="left"/>
    </xf>
    <xf numFmtId="2" fontId="3" fillId="2" borderId="0" xfId="0" applyNumberFormat="1" applyFont="1" applyFill="1" applyAlignment="1">
      <alignment horizontal="left"/>
    </xf>
    <xf numFmtId="2" fontId="4" fillId="0" borderId="7" xfId="0" applyNumberFormat="1" applyFont="1" applyBorder="1" applyAlignment="1">
      <alignment horizontal="left"/>
    </xf>
    <xf numFmtId="2" fontId="4" fillId="0" borderId="9" xfId="0" applyNumberFormat="1" applyFont="1" applyBorder="1" applyAlignment="1">
      <alignment horizontal="left"/>
    </xf>
    <xf numFmtId="2" fontId="3" fillId="2" borderId="0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21" fillId="2" borderId="0" xfId="0" applyNumberFormat="1" applyFont="1" applyFill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 horizontal="left"/>
    </xf>
    <xf numFmtId="2" fontId="0" fillId="2" borderId="0" xfId="0" applyNumberFormat="1" applyFont="1" applyFill="1" applyBorder="1" applyAlignment="1">
      <alignment horizontal="right"/>
    </xf>
    <xf numFmtId="2" fontId="0" fillId="2" borderId="4" xfId="0" applyNumberFormat="1" applyFill="1" applyBorder="1" applyAlignment="1">
      <alignment horizontal="left"/>
    </xf>
    <xf numFmtId="2" fontId="0" fillId="2" borderId="11" xfId="0" applyNumberFormat="1" applyFill="1" applyBorder="1" applyAlignment="1">
      <alignment horizontal="left"/>
    </xf>
    <xf numFmtId="2" fontId="5" fillId="0" borderId="7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2" fontId="18" fillId="2" borderId="0" xfId="0" applyNumberFormat="1" applyFont="1" applyFill="1" applyAlignment="1">
      <alignment horizontal="left"/>
    </xf>
    <xf numFmtId="2" fontId="0" fillId="2" borderId="6" xfId="0" applyNumberFormat="1" applyFont="1" applyFill="1" applyBorder="1" applyAlignment="1">
      <alignment horizontal="center"/>
    </xf>
    <xf numFmtId="2" fontId="9" fillId="2" borderId="19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 horizontal="left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2" fontId="23" fillId="2" borderId="1" xfId="0" applyNumberFormat="1" applyFont="1" applyFill="1" applyBorder="1" applyAlignment="1">
      <alignment/>
    </xf>
    <xf numFmtId="2" fontId="5" fillId="0" borderId="8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0" fillId="2" borderId="0" xfId="0" applyNumberFormat="1" applyFont="1" applyFill="1" applyBorder="1" applyAlignment="1">
      <alignment horizontal="left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5" borderId="21" xfId="0" applyNumberForma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4" borderId="10" xfId="0" applyNumberFormat="1" applyFill="1" applyBorder="1" applyAlignment="1" applyProtection="1">
      <alignment horizontal="center"/>
      <protection locked="0"/>
    </xf>
    <xf numFmtId="2" fontId="16" fillId="3" borderId="8" xfId="0" applyNumberFormat="1" applyFon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16" fillId="5" borderId="10" xfId="0" applyNumberFormat="1" applyFont="1" applyFill="1" applyBorder="1" applyAlignment="1">
      <alignment horizontal="center"/>
    </xf>
    <xf numFmtId="2" fontId="16" fillId="4" borderId="8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0" fontId="24" fillId="0" borderId="0" xfId="0" applyFont="1" applyAlignment="1">
      <alignment/>
    </xf>
    <xf numFmtId="1" fontId="0" fillId="2" borderId="0" xfId="0" applyNumberFormat="1" applyFont="1" applyFill="1" applyAlignment="1">
      <alignment/>
    </xf>
    <xf numFmtId="1" fontId="0" fillId="5" borderId="10" xfId="0" applyNumberFormat="1" applyFill="1" applyBorder="1" applyAlignment="1">
      <alignment horizontal="center"/>
    </xf>
    <xf numFmtId="2" fontId="5" fillId="3" borderId="8" xfId="0" applyNumberFormat="1" applyFont="1" applyFill="1" applyBorder="1" applyAlignment="1" applyProtection="1">
      <alignment horizontal="left"/>
      <protection locked="0"/>
    </xf>
    <xf numFmtId="2" fontId="3" fillId="2" borderId="0" xfId="0" applyNumberFormat="1" applyFont="1" applyFill="1" applyBorder="1" applyAlignment="1">
      <alignment horizontal="left"/>
    </xf>
    <xf numFmtId="170" fontId="0" fillId="2" borderId="0" xfId="0" applyNumberFormat="1" applyFill="1" applyBorder="1" applyAlignment="1">
      <alignment horizontal="center"/>
    </xf>
    <xf numFmtId="2" fontId="0" fillId="3" borderId="6" xfId="0" applyNumberFormat="1" applyFill="1" applyBorder="1" applyAlignment="1" applyProtection="1">
      <alignment horizontal="left"/>
      <protection locked="0"/>
    </xf>
    <xf numFmtId="2" fontId="5" fillId="0" borderId="9" xfId="0" applyNumberFormat="1" applyFont="1" applyBorder="1" applyAlignment="1">
      <alignment horizontal="left"/>
    </xf>
    <xf numFmtId="2" fontId="3" fillId="0" borderId="9" xfId="0" applyNumberFormat="1" applyFont="1" applyBorder="1" applyAlignment="1">
      <alignment horizontal="left"/>
    </xf>
    <xf numFmtId="2" fontId="16" fillId="5" borderId="10" xfId="0" applyNumberFormat="1" applyFont="1" applyFill="1" applyBorder="1" applyAlignment="1">
      <alignment horizontal="left"/>
    </xf>
    <xf numFmtId="2" fontId="3" fillId="0" borderId="8" xfId="0" applyNumberFormat="1" applyFont="1" applyBorder="1" applyAlignment="1">
      <alignment horizontal="left"/>
    </xf>
    <xf numFmtId="2" fontId="16" fillId="2" borderId="3" xfId="0" applyNumberFormat="1" applyFont="1" applyFill="1" applyBorder="1" applyAlignment="1">
      <alignment horizontal="center"/>
    </xf>
    <xf numFmtId="2" fontId="16" fillId="2" borderId="0" xfId="0" applyNumberFormat="1" applyFont="1" applyFill="1" applyBorder="1" applyAlignment="1">
      <alignment horizontal="left"/>
    </xf>
    <xf numFmtId="2" fontId="16" fillId="2" borderId="12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2" fontId="9" fillId="2" borderId="12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2" fontId="25" fillId="2" borderId="6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2" fontId="16" fillId="2" borderId="11" xfId="0" applyNumberFormat="1" applyFont="1" applyFill="1" applyBorder="1" applyAlignment="1">
      <alignment horizontal="left"/>
    </xf>
    <xf numFmtId="2" fontId="21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26" fillId="2" borderId="0" xfId="0" applyNumberFormat="1" applyFont="1" applyFill="1" applyBorder="1" applyAlignment="1">
      <alignment/>
    </xf>
    <xf numFmtId="2" fontId="26" fillId="2" borderId="10" xfId="0" applyNumberFormat="1" applyFont="1" applyFill="1" applyBorder="1" applyAlignment="1">
      <alignment/>
    </xf>
    <xf numFmtId="2" fontId="0" fillId="2" borderId="10" xfId="0" applyNumberFormat="1" applyFill="1" applyBorder="1" applyAlignment="1" applyProtection="1">
      <alignment horizontal="left"/>
      <protection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0" fillId="2" borderId="0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/>
      <protection/>
    </xf>
    <xf numFmtId="2" fontId="27" fillId="2" borderId="0" xfId="0" applyNumberFormat="1" applyFont="1" applyFill="1" applyBorder="1" applyAlignment="1" applyProtection="1">
      <alignment horizontal="center"/>
      <protection locked="0"/>
    </xf>
    <xf numFmtId="2" fontId="28" fillId="2" borderId="0" xfId="0" applyNumberFormat="1" applyFont="1" applyFill="1" applyBorder="1" applyAlignment="1">
      <alignment/>
    </xf>
    <xf numFmtId="2" fontId="28" fillId="2" borderId="10" xfId="0" applyNumberFormat="1" applyFont="1" applyFill="1" applyBorder="1" applyAlignment="1">
      <alignment/>
    </xf>
    <xf numFmtId="2" fontId="28" fillId="2" borderId="10" xfId="0" applyNumberFormat="1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center"/>
    </xf>
    <xf numFmtId="2" fontId="29" fillId="2" borderId="10" xfId="0" applyNumberFormat="1" applyFont="1" applyFill="1" applyBorder="1" applyAlignment="1">
      <alignment/>
    </xf>
    <xf numFmtId="2" fontId="29" fillId="2" borderId="1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7"/>
  <sheetViews>
    <sheetView tabSelected="1" workbookViewId="0" topLeftCell="A1">
      <selection activeCell="E80" sqref="E80"/>
    </sheetView>
  </sheetViews>
  <sheetFormatPr defaultColWidth="9.140625" defaultRowHeight="12.75"/>
  <cols>
    <col min="1" max="1" width="24.00390625" style="7" customWidth="1"/>
    <col min="2" max="2" width="6.00390625" style="7" customWidth="1"/>
    <col min="3" max="3" width="20.7109375" style="51" bestFit="1" customWidth="1"/>
    <col min="4" max="4" width="9.140625" style="52" customWidth="1"/>
    <col min="5" max="5" width="22.140625" style="52" customWidth="1"/>
    <col min="6" max="6" width="9.57421875" style="52" bestFit="1" customWidth="1"/>
    <col min="7" max="9" width="9.140625" style="52" customWidth="1"/>
    <col min="10" max="13" width="9.140625" style="51" customWidth="1"/>
    <col min="14" max="16384" width="9.140625" style="7" customWidth="1"/>
  </cols>
  <sheetData>
    <row r="1" spans="1:26" ht="12.75">
      <c r="A1" s="1" t="s">
        <v>0</v>
      </c>
      <c r="B1" s="2"/>
      <c r="C1" s="3"/>
      <c r="D1" s="4"/>
      <c r="E1" s="5"/>
      <c r="F1" s="5"/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>
      <c r="A2" s="8" t="s">
        <v>336</v>
      </c>
      <c r="B2" s="9"/>
      <c r="C2" s="10"/>
      <c r="D2" s="4"/>
      <c r="E2" s="5"/>
      <c r="F2" s="11"/>
      <c r="G2" s="11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>
      <c r="A3" s="12" t="s">
        <v>1</v>
      </c>
      <c r="B3" s="184">
        <v>0</v>
      </c>
      <c r="C3" s="13" t="s">
        <v>2</v>
      </c>
      <c r="D3" s="14"/>
      <c r="E3" s="15"/>
      <c r="F3" s="15"/>
      <c r="G3" s="15"/>
      <c r="H3" s="15"/>
      <c r="I3" s="15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2.75">
      <c r="A4" s="18" t="s">
        <v>3</v>
      </c>
      <c r="B4" s="184">
        <v>0</v>
      </c>
      <c r="C4" s="19" t="s">
        <v>2</v>
      </c>
      <c r="D4" s="15"/>
      <c r="E4" s="15"/>
      <c r="F4" s="15"/>
      <c r="G4" s="15"/>
      <c r="H4" s="15"/>
      <c r="I4" s="15"/>
      <c r="J4" s="20"/>
      <c r="K4" s="20"/>
      <c r="L4" s="16"/>
      <c r="M4" s="1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>
      <c r="A5" s="18" t="s">
        <v>4</v>
      </c>
      <c r="B5" s="184">
        <v>0</v>
      </c>
      <c r="C5" s="19" t="s">
        <v>2</v>
      </c>
      <c r="D5" s="15"/>
      <c r="E5" s="15"/>
      <c r="F5" s="11"/>
      <c r="G5" s="11"/>
      <c r="H5" s="15"/>
      <c r="I5" s="15"/>
      <c r="J5" s="20"/>
      <c r="K5" s="20"/>
      <c r="L5" s="16"/>
      <c r="M5" s="16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2.75">
      <c r="A6" s="21" t="s">
        <v>5</v>
      </c>
      <c r="B6" s="184" t="s">
        <v>165</v>
      </c>
      <c r="C6" s="19" t="s">
        <v>2</v>
      </c>
      <c r="D6" s="15"/>
      <c r="E6" s="15"/>
      <c r="F6" s="15"/>
      <c r="G6" s="15"/>
      <c r="H6" s="15"/>
      <c r="I6" s="15"/>
      <c r="J6" s="20"/>
      <c r="K6" s="20"/>
      <c r="L6" s="16"/>
      <c r="M6" s="16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2.75" hidden="1">
      <c r="A7" s="22" t="s">
        <v>6</v>
      </c>
      <c r="B7" s="184">
        <v>0</v>
      </c>
      <c r="C7" s="23" t="s">
        <v>7</v>
      </c>
      <c r="D7" s="15"/>
      <c r="E7" s="24"/>
      <c r="F7" s="15"/>
      <c r="G7" s="15"/>
      <c r="H7" s="15"/>
      <c r="I7" s="15"/>
      <c r="J7" s="20"/>
      <c r="K7" s="20"/>
      <c r="L7" s="16"/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2.75" hidden="1">
      <c r="A8" s="22" t="s">
        <v>8</v>
      </c>
      <c r="B8" s="184">
        <v>0</v>
      </c>
      <c r="C8" s="23" t="s">
        <v>7</v>
      </c>
      <c r="D8" s="15"/>
      <c r="E8" s="24"/>
      <c r="F8" s="15"/>
      <c r="G8" s="15"/>
      <c r="H8" s="15"/>
      <c r="I8" s="15"/>
      <c r="J8" s="20"/>
      <c r="K8" s="20"/>
      <c r="L8" s="16"/>
      <c r="M8" s="16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2.75">
      <c r="A9" s="25" t="s">
        <v>9</v>
      </c>
      <c r="B9" s="185" t="str">
        <f>IF(G38&lt;2,"---",B24)</f>
        <v>---</v>
      </c>
      <c r="C9" s="26" t="s">
        <v>10</v>
      </c>
      <c r="D9" s="15"/>
      <c r="E9" s="24"/>
      <c r="F9" s="15"/>
      <c r="G9" s="15"/>
      <c r="H9" s="15"/>
      <c r="I9" s="15"/>
      <c r="J9" s="20"/>
      <c r="K9" s="20"/>
      <c r="L9" s="16"/>
      <c r="M9" s="1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2.75">
      <c r="A10" s="27" t="s">
        <v>11</v>
      </c>
      <c r="B10" s="185" t="str">
        <f>IF(G39&lt;1,"---",G27)</f>
        <v>---</v>
      </c>
      <c r="C10" s="26" t="s">
        <v>10</v>
      </c>
      <c r="D10" s="15"/>
      <c r="E10" s="24"/>
      <c r="F10" s="15"/>
      <c r="G10" s="15"/>
      <c r="H10" s="15"/>
      <c r="I10" s="15"/>
      <c r="J10" s="20"/>
      <c r="K10" s="20"/>
      <c r="L10" s="16"/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.75">
      <c r="A11" s="27" t="s">
        <v>12</v>
      </c>
      <c r="B11" s="185" t="str">
        <f>IF(G40&lt;2,"---",G25)</f>
        <v>---</v>
      </c>
      <c r="C11" s="26" t="s">
        <v>10</v>
      </c>
      <c r="D11" s="15"/>
      <c r="E11" s="24"/>
      <c r="F11" s="15"/>
      <c r="G11" s="15"/>
      <c r="H11" s="15"/>
      <c r="I11" s="15"/>
      <c r="J11" s="20"/>
      <c r="K11" s="20"/>
      <c r="L11" s="16"/>
      <c r="M11" s="16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4.25">
      <c r="A12" s="28" t="s">
        <v>13</v>
      </c>
      <c r="B12" s="185" t="str">
        <f>IF(G41&lt;2,"---",B70)</f>
        <v>---</v>
      </c>
      <c r="C12" s="26" t="s">
        <v>10</v>
      </c>
      <c r="D12" s="15"/>
      <c r="E12" s="24"/>
      <c r="F12" s="15"/>
      <c r="G12" s="15"/>
      <c r="H12" s="15"/>
      <c r="I12" s="15"/>
      <c r="J12" s="20"/>
      <c r="K12" s="20"/>
      <c r="L12" s="16"/>
      <c r="M12" s="1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2.75">
      <c r="A13" s="29" t="s">
        <v>14</v>
      </c>
      <c r="B13" s="185" t="str">
        <f>IF(G42&lt;3,"---",B75)</f>
        <v>---</v>
      </c>
      <c r="C13" s="26" t="s">
        <v>10</v>
      </c>
      <c r="D13" s="15"/>
      <c r="E13" s="24"/>
      <c r="F13" s="15"/>
      <c r="G13" s="15"/>
      <c r="H13" s="15"/>
      <c r="I13" s="15"/>
      <c r="J13" s="20"/>
      <c r="K13" s="20"/>
      <c r="L13" s="16"/>
      <c r="M13" s="16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2.75" hidden="1">
      <c r="A14" s="29" t="s">
        <v>15</v>
      </c>
      <c r="B14" s="185">
        <f>IF(B8="si",C57-B3,B57-B3)</f>
        <v>0</v>
      </c>
      <c r="C14" s="26" t="s">
        <v>10</v>
      </c>
      <c r="D14" s="15"/>
      <c r="E14" s="24"/>
      <c r="F14" s="15"/>
      <c r="G14" s="15"/>
      <c r="H14" s="15"/>
      <c r="I14" s="15"/>
      <c r="J14" s="20"/>
      <c r="K14" s="20"/>
      <c r="L14" s="16"/>
      <c r="M14" s="16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>
      <c r="A15" s="17"/>
      <c r="B15" s="17"/>
      <c r="C15" s="30" t="s">
        <v>16</v>
      </c>
      <c r="D15" s="15"/>
      <c r="E15" s="15"/>
      <c r="F15" s="15"/>
      <c r="G15" s="15"/>
      <c r="H15" s="15"/>
      <c r="I15" s="15"/>
      <c r="J15" s="20"/>
      <c r="K15" s="20"/>
      <c r="L15" s="16"/>
      <c r="M15" s="16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2.75">
      <c r="A16" s="17"/>
      <c r="B16" s="17"/>
      <c r="C16" s="20"/>
      <c r="D16" s="15"/>
      <c r="E16" s="15"/>
      <c r="F16" s="15"/>
      <c r="G16" s="15"/>
      <c r="H16" s="15"/>
      <c r="I16" s="15"/>
      <c r="J16" s="20"/>
      <c r="K16" s="20"/>
      <c r="L16" s="16"/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2.75" hidden="1">
      <c r="A17" s="17"/>
      <c r="B17" s="17"/>
      <c r="C17" s="20"/>
      <c r="D17" s="15"/>
      <c r="E17" s="15"/>
      <c r="F17" s="15"/>
      <c r="G17" s="15"/>
      <c r="H17" s="15"/>
      <c r="I17" s="15"/>
      <c r="J17" s="20"/>
      <c r="K17" s="20"/>
      <c r="L17" s="16"/>
      <c r="M17" s="16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.75" hidden="1">
      <c r="A18" s="17"/>
      <c r="B18" s="17"/>
      <c r="C18" s="16"/>
      <c r="D18" s="14"/>
      <c r="E18" s="31"/>
      <c r="F18" s="32"/>
      <c r="G18" s="32"/>
      <c r="H18" s="33"/>
      <c r="I18" s="14"/>
      <c r="J18" s="16"/>
      <c r="K18" s="16"/>
      <c r="L18" s="16"/>
      <c r="M18" s="1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2.75" hidden="1">
      <c r="A19" s="17" t="s">
        <v>17</v>
      </c>
      <c r="B19" s="34">
        <f>((B4*100)*B3)/3600</f>
        <v>0</v>
      </c>
      <c r="C19" s="16"/>
      <c r="D19" s="14"/>
      <c r="E19" s="35" t="s">
        <v>18</v>
      </c>
      <c r="F19" s="36">
        <f>(F22-152.4)/2.54</f>
        <v>-60</v>
      </c>
      <c r="G19" s="15"/>
      <c r="H19" s="37"/>
      <c r="I19" s="14"/>
      <c r="J19" s="16"/>
      <c r="K19" s="16"/>
      <c r="L19" s="16"/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4.25" hidden="1">
      <c r="A20" s="17" t="s">
        <v>19</v>
      </c>
      <c r="B20" s="34">
        <f>POWER(B3,2)</f>
        <v>0</v>
      </c>
      <c r="C20" s="16"/>
      <c r="D20" s="14"/>
      <c r="E20" s="35" t="s">
        <v>19</v>
      </c>
      <c r="F20" s="36">
        <f>POWER(B3,2)</f>
        <v>0</v>
      </c>
      <c r="G20" s="15"/>
      <c r="H20" s="37"/>
      <c r="I20" s="14"/>
      <c r="J20" s="16"/>
      <c r="K20" s="16"/>
      <c r="L20" s="16"/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4.25" hidden="1">
      <c r="A21" s="17" t="s">
        <v>20</v>
      </c>
      <c r="B21" s="34">
        <f>POWER(100*B4,2)</f>
        <v>0</v>
      </c>
      <c r="C21" s="16"/>
      <c r="D21" s="14"/>
      <c r="E21" s="35" t="s">
        <v>20</v>
      </c>
      <c r="F21" s="36">
        <f>POWER(100*B4,2)</f>
        <v>0</v>
      </c>
      <c r="G21" s="15"/>
      <c r="H21" s="37"/>
      <c r="I21" s="14"/>
      <c r="J21" s="16"/>
      <c r="K21" s="16"/>
      <c r="L21" s="16"/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2.75" hidden="1">
      <c r="A22" s="17" t="s">
        <v>21</v>
      </c>
      <c r="B22" s="34">
        <f>B4*100</f>
        <v>0</v>
      </c>
      <c r="C22" s="16"/>
      <c r="D22" s="14"/>
      <c r="E22" s="35" t="s">
        <v>21</v>
      </c>
      <c r="F22" s="36">
        <f>B4*100</f>
        <v>0</v>
      </c>
      <c r="G22" s="15"/>
      <c r="H22" s="37"/>
      <c r="I22" s="14"/>
      <c r="J22" s="16"/>
      <c r="K22" s="16"/>
      <c r="L22" s="16"/>
      <c r="M22" s="16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 hidden="1">
      <c r="A23" s="17" t="s">
        <v>22</v>
      </c>
      <c r="B23" s="34">
        <f>B22/2.54</f>
        <v>0</v>
      </c>
      <c r="C23" s="16"/>
      <c r="D23" s="14"/>
      <c r="E23" s="35" t="s">
        <v>22</v>
      </c>
      <c r="F23" s="36">
        <f>F22/2.54</f>
        <v>0</v>
      </c>
      <c r="G23" s="15"/>
      <c r="H23" s="37"/>
      <c r="I23" s="14"/>
      <c r="J23" s="16"/>
      <c r="K23" s="16"/>
      <c r="L23" s="16"/>
      <c r="M23" s="16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2.75" hidden="1">
      <c r="A24" s="38" t="s">
        <v>23</v>
      </c>
      <c r="B24" s="39" t="e">
        <f>B3/(B4*B4)</f>
        <v>#DIV/0!</v>
      </c>
      <c r="C24" s="16"/>
      <c r="D24" s="14"/>
      <c r="E24" s="35"/>
      <c r="F24" s="40"/>
      <c r="G24" s="24"/>
      <c r="H24" s="37"/>
      <c r="I24" s="14"/>
      <c r="J24" s="16"/>
      <c r="K24" s="16"/>
      <c r="L24" s="16"/>
      <c r="M24" s="1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hidden="1">
      <c r="A25" s="38" t="s">
        <v>24</v>
      </c>
      <c r="B25" s="39">
        <f>0.007184*B33*B34</f>
        <v>0</v>
      </c>
      <c r="C25" s="16"/>
      <c r="D25" s="14"/>
      <c r="E25" s="35" t="s">
        <v>25</v>
      </c>
      <c r="F25" s="36">
        <f>IF(B6="f",1.07,1.1)</f>
        <v>1.07</v>
      </c>
      <c r="G25" s="41" t="e">
        <f>(F25*B3)-F26*(F20/(F21))</f>
        <v>#DIV/0!</v>
      </c>
      <c r="H25" s="37" t="s">
        <v>26</v>
      </c>
      <c r="I25" s="42"/>
      <c r="J25" s="16"/>
      <c r="K25" s="16"/>
      <c r="L25" s="16"/>
      <c r="M25" s="1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hidden="1">
      <c r="A26" s="38" t="s">
        <v>27</v>
      </c>
      <c r="B26" s="39">
        <f>IF(B6="f",B37,B36)</f>
        <v>-2.097</v>
      </c>
      <c r="C26" s="16"/>
      <c r="D26" s="14"/>
      <c r="E26" s="35" t="s">
        <v>28</v>
      </c>
      <c r="F26" s="36">
        <f>IF(B6="f",148,128)</f>
        <v>148</v>
      </c>
      <c r="G26" s="40"/>
      <c r="H26" s="37"/>
      <c r="I26" s="14"/>
      <c r="J26" s="16"/>
      <c r="K26" s="16"/>
      <c r="L26" s="16"/>
      <c r="M26" s="1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2.75" hidden="1">
      <c r="A27" s="17"/>
      <c r="B27" s="17"/>
      <c r="C27" s="16"/>
      <c r="D27" s="14"/>
      <c r="E27" s="35" t="s">
        <v>29</v>
      </c>
      <c r="F27" s="36">
        <f>50+(2.3*F19)</f>
        <v>-88</v>
      </c>
      <c r="G27" s="43">
        <f>IF(B6="m",F27,F28)</f>
        <v>-53</v>
      </c>
      <c r="H27" s="37" t="s">
        <v>30</v>
      </c>
      <c r="I27" s="14"/>
      <c r="J27" s="16"/>
      <c r="K27" s="16"/>
      <c r="L27" s="16"/>
      <c r="M27" s="16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2.75" hidden="1">
      <c r="A28" s="17"/>
      <c r="B28" s="34"/>
      <c r="C28" s="16"/>
      <c r="D28" s="14"/>
      <c r="E28" s="35" t="s">
        <v>31</v>
      </c>
      <c r="F28" s="36">
        <f>49+(1.7*F19)</f>
        <v>-53</v>
      </c>
      <c r="G28" s="15"/>
      <c r="H28" s="37"/>
      <c r="I28" s="14"/>
      <c r="J28" s="16"/>
      <c r="K28" s="16"/>
      <c r="L28" s="16"/>
      <c r="M28" s="1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2.75" hidden="1">
      <c r="A29" s="17"/>
      <c r="B29" s="34"/>
      <c r="C29" s="16"/>
      <c r="D29" s="14"/>
      <c r="E29" s="35" t="s">
        <v>32</v>
      </c>
      <c r="F29" s="40">
        <f>POWER(B3,0.425)</f>
        <v>0</v>
      </c>
      <c r="G29" s="15"/>
      <c r="H29" s="37"/>
      <c r="I29" s="14"/>
      <c r="J29" s="16"/>
      <c r="K29" s="16"/>
      <c r="L29" s="16"/>
      <c r="M29" s="1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hidden="1">
      <c r="A30" s="17"/>
      <c r="B30" s="34"/>
      <c r="C30" s="16"/>
      <c r="D30" s="14"/>
      <c r="E30" s="44" t="s">
        <v>33</v>
      </c>
      <c r="F30" s="45">
        <f>POWER(F22,0.725)</f>
        <v>0</v>
      </c>
      <c r="G30" s="46"/>
      <c r="H30" s="47"/>
      <c r="I30" s="14"/>
      <c r="J30" s="16"/>
      <c r="K30" s="16"/>
      <c r="L30" s="16"/>
      <c r="M30" s="16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 hidden="1">
      <c r="A31" s="17"/>
      <c r="B31" s="34"/>
      <c r="C31" s="16"/>
      <c r="D31" s="14"/>
      <c r="E31" s="14"/>
      <c r="F31" s="14"/>
      <c r="G31" s="14"/>
      <c r="H31" s="14"/>
      <c r="I31" s="14"/>
      <c r="J31" s="16"/>
      <c r="K31" s="16"/>
      <c r="L31" s="16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2.75" hidden="1">
      <c r="A32" s="17"/>
      <c r="B32" s="17"/>
      <c r="C32" s="31" t="s">
        <v>34</v>
      </c>
      <c r="D32" s="33" t="s">
        <v>35</v>
      </c>
      <c r="E32" s="14"/>
      <c r="F32" s="14"/>
      <c r="G32" s="14"/>
      <c r="H32" s="14"/>
      <c r="I32" s="14"/>
      <c r="J32" s="16"/>
      <c r="K32" s="16"/>
      <c r="L32" s="16"/>
      <c r="M32" s="16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 hidden="1">
      <c r="A33" s="17" t="s">
        <v>32</v>
      </c>
      <c r="B33" s="34">
        <f>POWER(B3,0.425)</f>
        <v>0</v>
      </c>
      <c r="C33" s="48">
        <f>POWER(B57,0.425)</f>
        <v>0</v>
      </c>
      <c r="D33" s="47">
        <f>POWER(C57,0.425)</f>
        <v>0</v>
      </c>
      <c r="E33" s="14"/>
      <c r="F33" s="42" t="s">
        <v>1</v>
      </c>
      <c r="G33" s="14">
        <f>IF(B3&gt;0,1,0)</f>
        <v>0</v>
      </c>
      <c r="H33" s="14"/>
      <c r="I33" s="14"/>
      <c r="J33" s="16"/>
      <c r="K33" s="16"/>
      <c r="L33" s="16"/>
      <c r="M33" s="16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 hidden="1">
      <c r="A34" s="17" t="s">
        <v>33</v>
      </c>
      <c r="B34" s="34">
        <f>POWER(B22,0.725)</f>
        <v>0</v>
      </c>
      <c r="C34" s="16"/>
      <c r="D34" s="14"/>
      <c r="E34" s="14"/>
      <c r="F34" s="42" t="s">
        <v>3</v>
      </c>
      <c r="G34" s="14">
        <f>IF(B4&gt;0,1,0)</f>
        <v>0</v>
      </c>
      <c r="H34" s="14"/>
      <c r="I34" s="14"/>
      <c r="J34" s="16"/>
      <c r="K34" s="16"/>
      <c r="L34" s="16"/>
      <c r="M34" s="16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hidden="1">
      <c r="A35" s="17"/>
      <c r="B35" s="17"/>
      <c r="C35" s="31" t="s">
        <v>34</v>
      </c>
      <c r="D35" s="33" t="s">
        <v>35</v>
      </c>
      <c r="E35" s="14"/>
      <c r="F35" s="42" t="s">
        <v>4</v>
      </c>
      <c r="G35" s="14">
        <f>IF(B5&gt;0,1,0)</f>
        <v>0</v>
      </c>
      <c r="H35" s="14"/>
      <c r="I35" s="14"/>
      <c r="J35" s="16"/>
      <c r="K35" s="16"/>
      <c r="L35" s="16"/>
      <c r="M35" s="16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 hidden="1">
      <c r="A36" s="17" t="s">
        <v>36</v>
      </c>
      <c r="B36" s="34">
        <f>(-0.09516*B5)+(0.1074*B22)+(0.3362*B3)+2.447</f>
        <v>2.447</v>
      </c>
      <c r="C36" s="49">
        <f>(-0.09516*B5)+(0.1074*B22)+(0.3362*B57)+2.447</f>
        <v>2.447</v>
      </c>
      <c r="D36" s="37">
        <f>(-0.09516*B5)+(0.1074*B22)+(0.3362*C57)+2.447</f>
        <v>2.447</v>
      </c>
      <c r="E36" s="50"/>
      <c r="F36" s="42" t="s">
        <v>5</v>
      </c>
      <c r="G36" s="14">
        <f>IF(B6&gt;0,1,0)</f>
        <v>1</v>
      </c>
      <c r="H36" s="14"/>
      <c r="I36" s="14"/>
      <c r="J36" s="16"/>
      <c r="K36" s="16"/>
      <c r="L36" s="16"/>
      <c r="M36" s="1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 hidden="1">
      <c r="A37" s="17" t="s">
        <v>37</v>
      </c>
      <c r="B37" s="34">
        <f>(0.1069*B22)+(0.2466*B3)-2.097</f>
        <v>-2.097</v>
      </c>
      <c r="C37" s="49">
        <f>(0.1069*B22)+(0.2466*B57)-2.097</f>
        <v>-2.097</v>
      </c>
      <c r="D37" s="37">
        <f>(0.1069*B22)+(0.2466*C57)-2.097</f>
        <v>-2.097</v>
      </c>
      <c r="E37" s="14"/>
      <c r="F37" s="42"/>
      <c r="G37" s="14"/>
      <c r="H37" s="14"/>
      <c r="I37" s="14"/>
      <c r="J37" s="16"/>
      <c r="K37" s="16"/>
      <c r="L37" s="16"/>
      <c r="M37" s="1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 hidden="1">
      <c r="A38" s="38" t="s">
        <v>38</v>
      </c>
      <c r="B38" s="39">
        <f>IF(B6="f",B37,B36)</f>
        <v>-2.097</v>
      </c>
      <c r="C38" s="48">
        <f>IF(B6="f",C37,C36)</f>
        <v>-2.097</v>
      </c>
      <c r="D38" s="47">
        <f>IF(B6="f",D37,D36)</f>
        <v>-2.097</v>
      </c>
      <c r="E38" s="14"/>
      <c r="F38" s="42" t="s">
        <v>39</v>
      </c>
      <c r="G38" s="14">
        <f>G33+G34</f>
        <v>0</v>
      </c>
      <c r="H38" s="14"/>
      <c r="I38" s="14"/>
      <c r="J38" s="16"/>
      <c r="K38" s="16"/>
      <c r="L38" s="16"/>
      <c r="M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2.75" hidden="1">
      <c r="A39" s="17"/>
      <c r="B39" s="17"/>
      <c r="C39" s="16"/>
      <c r="D39" s="14"/>
      <c r="E39" s="14"/>
      <c r="F39" s="14" t="s">
        <v>40</v>
      </c>
      <c r="G39" s="14">
        <f>G34</f>
        <v>0</v>
      </c>
      <c r="H39" s="14"/>
      <c r="I39" s="14"/>
      <c r="J39" s="16"/>
      <c r="K39" s="16"/>
      <c r="L39" s="16"/>
      <c r="M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2.75" hidden="1">
      <c r="A40" s="17"/>
      <c r="B40" s="34"/>
      <c r="C40" s="16"/>
      <c r="D40" s="14"/>
      <c r="E40" s="14"/>
      <c r="F40" s="14" t="s">
        <v>41</v>
      </c>
      <c r="G40" s="14">
        <f>G33+G34</f>
        <v>0</v>
      </c>
      <c r="H40" s="14"/>
      <c r="I40" s="14"/>
      <c r="J40" s="16"/>
      <c r="K40" s="16"/>
      <c r="L40" s="16"/>
      <c r="M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 hidden="1">
      <c r="A41" s="17"/>
      <c r="B41" s="34"/>
      <c r="C41" s="16"/>
      <c r="D41" s="14"/>
      <c r="E41" s="14"/>
      <c r="F41" s="14" t="s">
        <v>42</v>
      </c>
      <c r="G41" s="14">
        <f>G33+G34</f>
        <v>0</v>
      </c>
      <c r="H41" s="14"/>
      <c r="I41" s="14"/>
      <c r="J41" s="16"/>
      <c r="K41" s="16"/>
      <c r="L41" s="16"/>
      <c r="M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 hidden="1">
      <c r="A42" s="17"/>
      <c r="B42" s="34"/>
      <c r="C42" s="16"/>
      <c r="D42" s="14"/>
      <c r="E42" s="14"/>
      <c r="F42" s="14" t="s">
        <v>43</v>
      </c>
      <c r="G42" s="14">
        <f>G33+G34+G35</f>
        <v>0</v>
      </c>
      <c r="H42" s="14"/>
      <c r="I42" s="14"/>
      <c r="J42" s="16"/>
      <c r="K42" s="16"/>
      <c r="L42" s="16"/>
      <c r="M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hidden="1">
      <c r="A43" s="17"/>
      <c r="F43" s="14"/>
      <c r="G43" s="14"/>
      <c r="H43" s="14"/>
      <c r="I43" s="14"/>
      <c r="J43" s="16"/>
      <c r="K43" s="16"/>
      <c r="L43" s="16"/>
      <c r="M43" s="16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hidden="1">
      <c r="A44" s="17"/>
      <c r="B44" s="17"/>
      <c r="C44" s="14"/>
      <c r="D44" s="14"/>
      <c r="E44" s="14"/>
      <c r="F44" s="14"/>
      <c r="G44" s="14"/>
      <c r="H44" s="14"/>
      <c r="I44" s="14"/>
      <c r="J44" s="16"/>
      <c r="K44" s="16"/>
      <c r="L44" s="16"/>
      <c r="M44" s="1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2.75" hidden="1">
      <c r="A45" s="17"/>
      <c r="B45" s="34" t="s">
        <v>44</v>
      </c>
      <c r="C45" s="14" t="s">
        <v>44</v>
      </c>
      <c r="D45" s="14" t="s">
        <v>45</v>
      </c>
      <c r="E45" s="14" t="s">
        <v>45</v>
      </c>
      <c r="F45" s="14"/>
      <c r="G45" s="14"/>
      <c r="H45" s="14"/>
      <c r="I45" s="14"/>
      <c r="J45" s="16"/>
      <c r="K45" s="16"/>
      <c r="L45" s="16"/>
      <c r="M45" s="16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2.75" hidden="1">
      <c r="A46" s="17" t="s">
        <v>46</v>
      </c>
      <c r="B46" s="34">
        <v>0.008</v>
      </c>
      <c r="C46" s="14">
        <f>IF(B7=1,B46,0)</f>
        <v>0</v>
      </c>
      <c r="D46" s="14">
        <v>0.025</v>
      </c>
      <c r="E46" s="14">
        <f>IF(B7=1,D46,0)</f>
        <v>0</v>
      </c>
      <c r="F46" s="14"/>
      <c r="G46" s="14"/>
      <c r="H46" s="14"/>
      <c r="I46" s="14"/>
      <c r="J46" s="16"/>
      <c r="K46" s="16"/>
      <c r="L46" s="16"/>
      <c r="M46" s="16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2.75" hidden="1">
      <c r="A47" s="17" t="s">
        <v>47</v>
      </c>
      <c r="B47" s="34">
        <v>0.031</v>
      </c>
      <c r="C47" s="14">
        <f>IF(B7=2,B47,0)</f>
        <v>0</v>
      </c>
      <c r="D47" s="14">
        <v>0.06</v>
      </c>
      <c r="E47" s="14">
        <f>IF(B7=2,D47,0)</f>
        <v>0</v>
      </c>
      <c r="F47" s="14"/>
      <c r="G47" s="14"/>
      <c r="H47" s="14"/>
      <c r="I47" s="14"/>
      <c r="J47" s="16"/>
      <c r="K47" s="16"/>
      <c r="L47" s="16"/>
      <c r="M47" s="16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 hidden="1">
      <c r="A48" s="17" t="s">
        <v>48</v>
      </c>
      <c r="B48" s="34">
        <v>0.066</v>
      </c>
      <c r="C48" s="14">
        <f>IF(B7=3,B48,0)</f>
        <v>0</v>
      </c>
      <c r="D48" s="14">
        <v>0.1</v>
      </c>
      <c r="E48" s="14">
        <f>IF(B7=3,D48,0)</f>
        <v>0</v>
      </c>
      <c r="F48" s="14"/>
      <c r="G48" s="14"/>
      <c r="H48" s="14"/>
      <c r="I48" s="14"/>
      <c r="J48" s="16"/>
      <c r="K48" s="16"/>
      <c r="L48" s="16"/>
      <c r="M48" s="16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hidden="1">
      <c r="A49" s="17" t="s">
        <v>49</v>
      </c>
      <c r="B49" s="34">
        <v>0.185</v>
      </c>
      <c r="C49" s="14">
        <f>IF(B7=4,B49,0)</f>
        <v>0</v>
      </c>
      <c r="D49" s="14">
        <v>0.18</v>
      </c>
      <c r="E49" s="14">
        <f>IF(B7=4,D49,0)</f>
        <v>0</v>
      </c>
      <c r="F49" s="14"/>
      <c r="G49" s="14"/>
      <c r="H49" s="14"/>
      <c r="I49" s="14"/>
      <c r="J49" s="16"/>
      <c r="K49" s="16"/>
      <c r="L49" s="16"/>
      <c r="M49" s="16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 hidden="1">
      <c r="A50" s="17" t="s">
        <v>50</v>
      </c>
      <c r="B50" s="34">
        <v>0.08</v>
      </c>
      <c r="C50" s="14">
        <f>IF(B7=5,B50,0)</f>
        <v>0</v>
      </c>
      <c r="D50" s="14">
        <v>0.125</v>
      </c>
      <c r="E50" s="14">
        <f>IF(B7=5,D50,0)</f>
        <v>0</v>
      </c>
      <c r="F50" s="14"/>
      <c r="G50" s="14"/>
      <c r="H50" s="14"/>
      <c r="I50" s="14"/>
      <c r="J50" s="16"/>
      <c r="K50" s="16"/>
      <c r="L50" s="16"/>
      <c r="M50" s="16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2.75" hidden="1">
      <c r="A51" s="17" t="s">
        <v>51</v>
      </c>
      <c r="B51" s="34">
        <v>0.065</v>
      </c>
      <c r="C51" s="14">
        <f>IF(B7=6,B51,0)</f>
        <v>0</v>
      </c>
      <c r="D51" s="14">
        <v>0.1</v>
      </c>
      <c r="E51" s="14">
        <f>IF(B7=6,D51,0)</f>
        <v>0</v>
      </c>
      <c r="F51" s="14"/>
      <c r="G51" s="14"/>
      <c r="H51" s="14"/>
      <c r="I51" s="14"/>
      <c r="J51" s="16"/>
      <c r="K51" s="16"/>
      <c r="L51" s="16"/>
      <c r="M51" s="16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2.75" hidden="1">
      <c r="A52" s="17" t="s">
        <v>52</v>
      </c>
      <c r="B52" s="34">
        <v>0.018</v>
      </c>
      <c r="C52" s="14">
        <f>IF(B7=7,B52,0)</f>
        <v>0</v>
      </c>
      <c r="D52" s="14">
        <v>0.035</v>
      </c>
      <c r="E52" s="14">
        <f>IF(B7=7,D52,0)</f>
        <v>0</v>
      </c>
      <c r="F52" s="14"/>
      <c r="G52" s="14"/>
      <c r="H52" s="14"/>
      <c r="I52" s="14"/>
      <c r="J52" s="16"/>
      <c r="K52" s="16"/>
      <c r="L52" s="16"/>
      <c r="M52" s="16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2.75" hidden="1">
      <c r="A53" s="17" t="s">
        <v>53</v>
      </c>
      <c r="B53" s="53">
        <f>SUM(C46:C52)</f>
        <v>0</v>
      </c>
      <c r="C53" s="16"/>
      <c r="D53" s="53">
        <f>SUM(E46:E52)</f>
        <v>0</v>
      </c>
      <c r="E53" s="14"/>
      <c r="F53" s="14"/>
      <c r="G53" s="14"/>
      <c r="H53" s="14"/>
      <c r="I53" s="14"/>
      <c r="J53" s="16"/>
      <c r="K53" s="16"/>
      <c r="L53" s="16"/>
      <c r="M53" s="16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2.75" hidden="1">
      <c r="A54" s="17"/>
      <c r="B54" s="54"/>
      <c r="C54" s="20"/>
      <c r="D54" s="14"/>
      <c r="E54" s="14"/>
      <c r="F54" s="14"/>
      <c r="G54" s="14"/>
      <c r="H54" s="14"/>
      <c r="I54" s="14"/>
      <c r="J54" s="16"/>
      <c r="K54" s="16"/>
      <c r="L54" s="16"/>
      <c r="M54" s="16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3.5" hidden="1" thickBot="1">
      <c r="A55" s="55" t="s">
        <v>54</v>
      </c>
      <c r="B55" s="56" t="s">
        <v>55</v>
      </c>
      <c r="C55" s="57" t="s">
        <v>56</v>
      </c>
      <c r="D55" s="14"/>
      <c r="E55" s="14"/>
      <c r="F55" s="14"/>
      <c r="G55" s="14"/>
      <c r="H55" s="14"/>
      <c r="I55" s="14"/>
      <c r="J55" s="16"/>
      <c r="K55" s="16"/>
      <c r="L55" s="16"/>
      <c r="M55" s="16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2.75" hidden="1">
      <c r="A56" s="17"/>
      <c r="B56" s="17"/>
      <c r="C56" s="16"/>
      <c r="D56" s="14"/>
      <c r="E56" s="14"/>
      <c r="F56" s="14"/>
      <c r="G56" s="14"/>
      <c r="H56" s="14"/>
      <c r="I56" s="14"/>
      <c r="J56" s="16"/>
      <c r="K56" s="16"/>
      <c r="L56" s="16"/>
      <c r="M56" s="16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2.75" hidden="1">
      <c r="A57" s="38" t="s">
        <v>57</v>
      </c>
      <c r="B57" s="39">
        <f>B3/(1-B53)</f>
        <v>0</v>
      </c>
      <c r="C57" s="39">
        <f>B3+C58</f>
        <v>0</v>
      </c>
      <c r="D57" s="14"/>
      <c r="E57" s="14"/>
      <c r="F57" s="14"/>
      <c r="G57" s="14"/>
      <c r="H57" s="14"/>
      <c r="I57" s="14"/>
      <c r="J57" s="16"/>
      <c r="K57" s="16"/>
      <c r="L57" s="16"/>
      <c r="M57" s="16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2.75" hidden="1">
      <c r="A58" s="16" t="s">
        <v>15</v>
      </c>
      <c r="B58" s="14">
        <f>B57-B3</f>
        <v>0</v>
      </c>
      <c r="C58" s="14">
        <f>B58*2</f>
        <v>0</v>
      </c>
      <c r="D58" s="14"/>
      <c r="E58" s="14"/>
      <c r="F58" s="14"/>
      <c r="G58" s="14"/>
      <c r="H58" s="14"/>
      <c r="I58" s="14"/>
      <c r="J58" s="16"/>
      <c r="K58" s="16"/>
      <c r="L58" s="16"/>
      <c r="M58" s="16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hidden="1">
      <c r="A59" s="38"/>
      <c r="B59" s="39"/>
      <c r="C59" s="39"/>
      <c r="D59" s="14"/>
      <c r="E59" s="14"/>
      <c r="F59" s="14"/>
      <c r="G59" s="14"/>
      <c r="H59" s="14"/>
      <c r="I59" s="14"/>
      <c r="J59" s="16"/>
      <c r="K59" s="16"/>
      <c r="L59" s="16"/>
      <c r="M59" s="16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2.75" hidden="1">
      <c r="A60" s="17" t="s">
        <v>58</v>
      </c>
      <c r="B60" s="34">
        <f>IF(B6="f",C37,C36)</f>
        <v>-2.097</v>
      </c>
      <c r="C60" s="14">
        <f>IF(B6="f",D37,D36)</f>
        <v>-2.097</v>
      </c>
      <c r="D60" s="14"/>
      <c r="E60" s="14"/>
      <c r="F60" s="14"/>
      <c r="G60" s="14"/>
      <c r="H60" s="14"/>
      <c r="I60" s="14"/>
      <c r="J60" s="16"/>
      <c r="K60" s="16"/>
      <c r="L60" s="16"/>
      <c r="M60" s="16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2.75" hidden="1">
      <c r="A61" s="17" t="s">
        <v>59</v>
      </c>
      <c r="B61" s="34" t="e">
        <f>B60/B57</f>
        <v>#DIV/0!</v>
      </c>
      <c r="C61" s="14" t="e">
        <f>C60/C57</f>
        <v>#DIV/0!</v>
      </c>
      <c r="D61" s="14"/>
      <c r="E61" s="14"/>
      <c r="F61" s="14"/>
      <c r="G61" s="14"/>
      <c r="H61" s="14"/>
      <c r="I61" s="14"/>
      <c r="J61" s="16"/>
      <c r="K61" s="16"/>
      <c r="L61" s="16"/>
      <c r="M61" s="16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2.75" hidden="1">
      <c r="A62" s="17" t="s">
        <v>60</v>
      </c>
      <c r="B62" s="34" t="e">
        <f>B3*B61</f>
        <v>#DIV/0!</v>
      </c>
      <c r="C62" s="14" t="e">
        <f>B3*C61</f>
        <v>#DIV/0!</v>
      </c>
      <c r="D62" s="14"/>
      <c r="E62" s="14"/>
      <c r="F62" s="14"/>
      <c r="G62" s="14"/>
      <c r="H62" s="14"/>
      <c r="I62" s="14"/>
      <c r="J62" s="16"/>
      <c r="K62" s="16"/>
      <c r="L62" s="16"/>
      <c r="M62" s="16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2.75" hidden="1">
      <c r="A63" s="17"/>
      <c r="B63" s="17"/>
      <c r="C63" s="16"/>
      <c r="D63" s="14"/>
      <c r="E63" s="14"/>
      <c r="F63" s="14"/>
      <c r="G63" s="14"/>
      <c r="H63" s="14"/>
      <c r="I63" s="14"/>
      <c r="J63" s="16"/>
      <c r="K63" s="16"/>
      <c r="L63" s="16"/>
      <c r="M63" s="16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 hidden="1">
      <c r="A64" s="17" t="s">
        <v>61</v>
      </c>
      <c r="B64" s="34">
        <f>0.007184*C33*B34</f>
        <v>0</v>
      </c>
      <c r="C64" s="14">
        <f>0.007184*D33*B34</f>
        <v>0</v>
      </c>
      <c r="D64" s="14"/>
      <c r="E64" s="14"/>
      <c r="F64" s="14"/>
      <c r="G64" s="14"/>
      <c r="H64" s="14"/>
      <c r="I64" s="14"/>
      <c r="J64" s="16"/>
      <c r="K64" s="16"/>
      <c r="L64" s="16"/>
      <c r="M64" s="16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 hidden="1">
      <c r="A65" s="17" t="s">
        <v>62</v>
      </c>
      <c r="B65" s="34">
        <f>B64*(1-D53)</f>
        <v>0</v>
      </c>
      <c r="C65" s="14">
        <f>C64*(1-(D53+D53))</f>
        <v>0</v>
      </c>
      <c r="D65" s="14"/>
      <c r="E65" s="14"/>
      <c r="F65" s="14"/>
      <c r="G65" s="14"/>
      <c r="H65" s="14"/>
      <c r="I65" s="14"/>
      <c r="J65" s="16"/>
      <c r="K65" s="16"/>
      <c r="L65" s="16"/>
      <c r="M65" s="16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2.75" hidden="1">
      <c r="A66" s="17"/>
      <c r="B66" s="17"/>
      <c r="C66" s="16"/>
      <c r="D66" s="14"/>
      <c r="E66" s="14"/>
      <c r="F66" s="14"/>
      <c r="G66" s="14"/>
      <c r="H66" s="14"/>
      <c r="I66" s="14"/>
      <c r="J66" s="16"/>
      <c r="K66" s="16"/>
      <c r="L66" s="16"/>
      <c r="M66" s="16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2.75" hidden="1">
      <c r="A67" s="58" t="s">
        <v>63</v>
      </c>
      <c r="B67" s="59">
        <f>0.007184*C33*B34</f>
        <v>0</v>
      </c>
      <c r="C67" s="33">
        <f>0.007184*D33*B34</f>
        <v>0</v>
      </c>
      <c r="D67" s="14"/>
      <c r="E67" s="14"/>
      <c r="F67" s="14"/>
      <c r="G67" s="14"/>
      <c r="H67" s="14"/>
      <c r="I67" s="14"/>
      <c r="J67" s="16"/>
      <c r="K67" s="16"/>
      <c r="L67" s="16"/>
      <c r="M67" s="16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2.75" hidden="1">
      <c r="A68" s="60" t="s">
        <v>64</v>
      </c>
      <c r="B68" s="54">
        <f>B64*(1-D53)</f>
        <v>0</v>
      </c>
      <c r="C68" s="37">
        <f>C64*(1-(D53+D53))</f>
        <v>0</v>
      </c>
      <c r="D68" s="14"/>
      <c r="E68" s="14"/>
      <c r="F68" s="14"/>
      <c r="G68" s="14"/>
      <c r="H68" s="14"/>
      <c r="I68" s="14"/>
      <c r="J68" s="16"/>
      <c r="K68" s="16"/>
      <c r="L68" s="16"/>
      <c r="M68" s="16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hidden="1">
      <c r="A69" s="60" t="s">
        <v>65</v>
      </c>
      <c r="B69" s="54">
        <f>IF(B53&gt;0,B68,B67)</f>
        <v>0</v>
      </c>
      <c r="C69" s="37">
        <f>B64-((B64-B68)*2)</f>
        <v>0</v>
      </c>
      <c r="D69" s="14"/>
      <c r="E69" s="14"/>
      <c r="F69" s="14"/>
      <c r="G69" s="14"/>
      <c r="H69" s="14"/>
      <c r="I69" s="14"/>
      <c r="J69" s="16"/>
      <c r="K69" s="16"/>
      <c r="L69" s="16"/>
      <c r="M69" s="16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2.75" hidden="1">
      <c r="A70" s="60" t="s">
        <v>66</v>
      </c>
      <c r="B70" s="54">
        <f>IF(B8="si",C69,B69)</f>
        <v>0</v>
      </c>
      <c r="C70" s="37"/>
      <c r="D70" s="14"/>
      <c r="E70" s="14"/>
      <c r="F70" s="14"/>
      <c r="G70" s="14"/>
      <c r="H70" s="14"/>
      <c r="I70" s="14"/>
      <c r="J70" s="16"/>
      <c r="K70" s="16"/>
      <c r="L70" s="16"/>
      <c r="M70" s="16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2.75" hidden="1">
      <c r="A71" s="60"/>
      <c r="B71" s="61"/>
      <c r="C71" s="62"/>
      <c r="D71" s="14"/>
      <c r="E71" s="14"/>
      <c r="F71" s="14"/>
      <c r="G71" s="14"/>
      <c r="H71" s="14"/>
      <c r="I71" s="14"/>
      <c r="J71" s="16"/>
      <c r="K71" s="16"/>
      <c r="L71" s="16"/>
      <c r="M71" s="16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2.75" hidden="1">
      <c r="A72" s="60" t="s">
        <v>67</v>
      </c>
      <c r="B72" s="54">
        <f>IF(B6="f",B37,B36)</f>
        <v>-2.097</v>
      </c>
      <c r="C72" s="37">
        <f>IF(B6="f",D37,D36)</f>
        <v>-2.097</v>
      </c>
      <c r="D72" s="14"/>
      <c r="E72" s="14"/>
      <c r="F72" s="14"/>
      <c r="G72" s="14"/>
      <c r="H72" s="14"/>
      <c r="I72" s="14"/>
      <c r="J72" s="16"/>
      <c r="K72" s="16"/>
      <c r="L72" s="16"/>
      <c r="M72" s="16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2.75" hidden="1">
      <c r="A73" s="60" t="s">
        <v>68</v>
      </c>
      <c r="B73" s="54" t="e">
        <f>B3*B61</f>
        <v>#DIV/0!</v>
      </c>
      <c r="C73" s="37" t="e">
        <f>B3*C61</f>
        <v>#DIV/0!</v>
      </c>
      <c r="D73" s="14"/>
      <c r="E73" s="14"/>
      <c r="F73" s="14"/>
      <c r="G73" s="14"/>
      <c r="H73" s="14"/>
      <c r="I73" s="14"/>
      <c r="J73" s="16"/>
      <c r="K73" s="16"/>
      <c r="L73" s="16"/>
      <c r="M73" s="16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2.75" hidden="1">
      <c r="A74" s="60" t="s">
        <v>69</v>
      </c>
      <c r="B74" s="54">
        <f>IF(B53&gt;0,B73,B72)</f>
        <v>-2.097</v>
      </c>
      <c r="C74" s="37" t="e">
        <f>B60-((B60-B73)*2)</f>
        <v>#DIV/0!</v>
      </c>
      <c r="D74" s="14"/>
      <c r="E74" s="14"/>
      <c r="F74" s="14"/>
      <c r="G74" s="14"/>
      <c r="H74" s="14"/>
      <c r="I74" s="14"/>
      <c r="J74" s="16"/>
      <c r="K74" s="16"/>
      <c r="L74" s="16"/>
      <c r="M74" s="16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2.75" hidden="1">
      <c r="A75" s="60" t="s">
        <v>70</v>
      </c>
      <c r="B75" s="54">
        <f>IF(B8="si",C74,B74)</f>
        <v>-2.097</v>
      </c>
      <c r="C75" s="62"/>
      <c r="D75" s="14"/>
      <c r="E75" s="14"/>
      <c r="F75" s="14"/>
      <c r="G75" s="14"/>
      <c r="H75" s="14"/>
      <c r="I75" s="14"/>
      <c r="J75" s="16"/>
      <c r="K75" s="16"/>
      <c r="L75" s="16"/>
      <c r="M75" s="16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2.75" hidden="1">
      <c r="A76" s="60"/>
      <c r="B76" s="61"/>
      <c r="C76" s="62"/>
      <c r="D76" s="14"/>
      <c r="E76" s="14"/>
      <c r="F76" s="14"/>
      <c r="G76" s="14"/>
      <c r="H76" s="14"/>
      <c r="I76" s="14"/>
      <c r="J76" s="16"/>
      <c r="K76" s="16"/>
      <c r="L76" s="16"/>
      <c r="M76" s="16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2.75" hidden="1">
      <c r="A77" s="60" t="s">
        <v>71</v>
      </c>
      <c r="B77" s="61" t="e">
        <f>B3/(B4*B4)</f>
        <v>#DIV/0!</v>
      </c>
      <c r="C77" s="62"/>
      <c r="D77" s="14"/>
      <c r="E77" s="14"/>
      <c r="F77" s="14"/>
      <c r="G77" s="14"/>
      <c r="H77" s="14"/>
      <c r="I77" s="14"/>
      <c r="J77" s="16"/>
      <c r="K77" s="16"/>
      <c r="L77" s="16"/>
      <c r="M77" s="16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2.75" hidden="1">
      <c r="A78" s="63" t="s">
        <v>72</v>
      </c>
      <c r="B78" s="64" t="e">
        <f>(B3+B14)/(B4*B4)</f>
        <v>#DIV/0!</v>
      </c>
      <c r="C78" s="65"/>
      <c r="D78" s="14"/>
      <c r="E78" s="14"/>
      <c r="F78" s="14"/>
      <c r="G78" s="14"/>
      <c r="H78" s="14"/>
      <c r="I78" s="14"/>
      <c r="J78" s="16"/>
      <c r="K78" s="16"/>
      <c r="L78" s="16"/>
      <c r="M78" s="16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hidden="1">
      <c r="A79" s="17"/>
      <c r="B79" s="17"/>
      <c r="C79" s="66"/>
      <c r="D79" s="14"/>
      <c r="E79" s="14"/>
      <c r="F79" s="14"/>
      <c r="G79" s="14"/>
      <c r="H79" s="14"/>
      <c r="I79" s="14"/>
      <c r="J79" s="16"/>
      <c r="K79" s="16"/>
      <c r="L79" s="16"/>
      <c r="M79" s="16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2.75">
      <c r="A80" s="67"/>
      <c r="B80" s="17"/>
      <c r="C80" s="16"/>
      <c r="D80" s="14"/>
      <c r="E80" s="14"/>
      <c r="F80" s="14"/>
      <c r="G80" s="14"/>
      <c r="H80" s="14"/>
      <c r="I80" s="14"/>
      <c r="J80" s="16"/>
      <c r="K80" s="16"/>
      <c r="L80" s="16"/>
      <c r="M80" s="16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2.75">
      <c r="A81" s="67"/>
      <c r="B81" s="17"/>
      <c r="C81" s="16"/>
      <c r="D81" s="14"/>
      <c r="E81" s="14"/>
      <c r="F81" s="14"/>
      <c r="G81" s="14"/>
      <c r="H81" s="14"/>
      <c r="I81" s="14"/>
      <c r="J81" s="16"/>
      <c r="K81" s="16"/>
      <c r="L81" s="16"/>
      <c r="M81" s="16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2.75">
      <c r="A82" s="67"/>
      <c r="B82" s="17"/>
      <c r="C82" s="16"/>
      <c r="D82" s="14"/>
      <c r="E82" s="14"/>
      <c r="F82" s="14"/>
      <c r="G82" s="14"/>
      <c r="H82" s="14"/>
      <c r="I82" s="14"/>
      <c r="J82" s="16"/>
      <c r="K82" s="16"/>
      <c r="L82" s="16"/>
      <c r="M82" s="16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2.75">
      <c r="A83" s="17"/>
      <c r="B83" s="17"/>
      <c r="C83" s="68"/>
      <c r="D83" s="14"/>
      <c r="E83" s="14"/>
      <c r="F83" s="14"/>
      <c r="G83" s="14"/>
      <c r="H83" s="14"/>
      <c r="I83" s="14"/>
      <c r="J83" s="16"/>
      <c r="K83" s="16"/>
      <c r="L83" s="16"/>
      <c r="M83" s="16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2.75">
      <c r="A84" s="17"/>
      <c r="B84" s="17"/>
      <c r="C84" s="68"/>
      <c r="D84" s="14"/>
      <c r="E84" s="14"/>
      <c r="F84" s="14"/>
      <c r="G84" s="14"/>
      <c r="H84" s="14"/>
      <c r="I84" s="14"/>
      <c r="J84" s="16"/>
      <c r="K84" s="16"/>
      <c r="L84" s="16"/>
      <c r="M84" s="16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2.75">
      <c r="A85" s="17"/>
      <c r="B85" s="17"/>
      <c r="C85" s="68"/>
      <c r="D85" s="14"/>
      <c r="E85" s="14"/>
      <c r="F85" s="14"/>
      <c r="G85" s="14"/>
      <c r="H85" s="14"/>
      <c r="I85" s="14"/>
      <c r="J85" s="16"/>
      <c r="K85" s="16"/>
      <c r="L85" s="16"/>
      <c r="M85" s="16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2.75">
      <c r="A86" s="17"/>
      <c r="B86" s="17"/>
      <c r="C86" s="195"/>
      <c r="D86" s="14"/>
      <c r="E86" s="14"/>
      <c r="F86" s="14"/>
      <c r="G86" s="14"/>
      <c r="H86" s="14"/>
      <c r="I86" s="14"/>
      <c r="J86" s="16"/>
      <c r="K86" s="16"/>
      <c r="L86" s="16"/>
      <c r="M86" s="16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>
      <c r="A87" s="17"/>
      <c r="B87" s="17"/>
      <c r="C87" s="16"/>
      <c r="D87" s="14"/>
      <c r="E87" s="14"/>
      <c r="F87" s="14"/>
      <c r="G87" s="14"/>
      <c r="H87" s="14"/>
      <c r="I87" s="14"/>
      <c r="J87" s="16"/>
      <c r="K87" s="16"/>
      <c r="L87" s="16"/>
      <c r="M87" s="16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>
      <c r="A88" s="17"/>
      <c r="B88" s="17"/>
      <c r="C88" s="16"/>
      <c r="D88" s="14"/>
      <c r="E88" s="14"/>
      <c r="F88" s="14"/>
      <c r="G88" s="14"/>
      <c r="H88" s="14"/>
      <c r="I88" s="14"/>
      <c r="J88" s="16"/>
      <c r="K88" s="16"/>
      <c r="L88" s="16"/>
      <c r="M88" s="16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2.75">
      <c r="A89" s="17"/>
      <c r="B89" s="17"/>
      <c r="C89" s="16"/>
      <c r="D89" s="14"/>
      <c r="E89" s="14"/>
      <c r="F89" s="14"/>
      <c r="G89" s="14"/>
      <c r="H89" s="14"/>
      <c r="I89" s="14"/>
      <c r="J89" s="16"/>
      <c r="K89" s="16"/>
      <c r="L89" s="16"/>
      <c r="M89" s="16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2.75">
      <c r="A90" s="17"/>
      <c r="B90" s="17"/>
      <c r="C90" s="196"/>
      <c r="D90" s="14"/>
      <c r="E90" s="14"/>
      <c r="F90" s="14"/>
      <c r="G90" s="14"/>
      <c r="H90" s="14"/>
      <c r="I90" s="14"/>
      <c r="J90" s="16"/>
      <c r="K90" s="16"/>
      <c r="L90" s="16"/>
      <c r="M90" s="16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2.75">
      <c r="A91" s="17"/>
      <c r="B91" s="17"/>
      <c r="C91" s="196"/>
      <c r="D91" s="14"/>
      <c r="E91" s="14"/>
      <c r="F91" s="14"/>
      <c r="G91" s="14"/>
      <c r="H91" s="14"/>
      <c r="I91" s="14"/>
      <c r="J91" s="16"/>
      <c r="K91" s="16"/>
      <c r="L91" s="16"/>
      <c r="M91" s="16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>
      <c r="A92" s="17"/>
      <c r="B92" s="17"/>
      <c r="C92" s="16"/>
      <c r="D92" s="14"/>
      <c r="E92" s="14"/>
      <c r="F92" s="14"/>
      <c r="G92" s="14"/>
      <c r="H92" s="14"/>
      <c r="I92" s="14"/>
      <c r="J92" s="16"/>
      <c r="K92" s="16"/>
      <c r="L92" s="16"/>
      <c r="M92" s="16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>
      <c r="A93" s="17"/>
      <c r="B93" s="17"/>
      <c r="C93" s="16"/>
      <c r="D93" s="14"/>
      <c r="E93" s="14"/>
      <c r="F93" s="14"/>
      <c r="G93" s="14"/>
      <c r="H93" s="14"/>
      <c r="I93" s="14"/>
      <c r="J93" s="16"/>
      <c r="K93" s="16"/>
      <c r="L93" s="16"/>
      <c r="M93" s="16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2.75">
      <c r="A94" s="17"/>
      <c r="B94" s="17"/>
      <c r="C94" s="16"/>
      <c r="D94" s="14"/>
      <c r="E94" s="14"/>
      <c r="F94" s="14"/>
      <c r="G94" s="14"/>
      <c r="H94" s="14"/>
      <c r="I94" s="14"/>
      <c r="J94" s="16"/>
      <c r="K94" s="16"/>
      <c r="L94" s="16"/>
      <c r="M94" s="16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2.75">
      <c r="A95" s="17"/>
      <c r="B95" s="17"/>
      <c r="C95" s="16"/>
      <c r="D95" s="14"/>
      <c r="E95" s="14"/>
      <c r="F95" s="14"/>
      <c r="G95" s="14"/>
      <c r="H95" s="14"/>
      <c r="I95" s="14"/>
      <c r="J95" s="16"/>
      <c r="K95" s="16"/>
      <c r="L95" s="16"/>
      <c r="M95" s="16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2.75">
      <c r="A96" s="17"/>
      <c r="B96" s="17"/>
      <c r="C96" s="16"/>
      <c r="D96" s="14"/>
      <c r="E96" s="14"/>
      <c r="F96" s="14"/>
      <c r="G96" s="14"/>
      <c r="H96" s="14"/>
      <c r="I96" s="14"/>
      <c r="J96" s="16"/>
      <c r="K96" s="16"/>
      <c r="L96" s="16"/>
      <c r="M96" s="16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2.75">
      <c r="A97" s="17"/>
      <c r="B97" s="17"/>
      <c r="C97" s="16"/>
      <c r="D97" s="14"/>
      <c r="E97" s="14"/>
      <c r="F97" s="14"/>
      <c r="G97" s="14"/>
      <c r="H97" s="14"/>
      <c r="I97" s="14"/>
      <c r="J97" s="16"/>
      <c r="K97" s="16"/>
      <c r="L97" s="16"/>
      <c r="M97" s="16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2.75">
      <c r="A98" s="17"/>
      <c r="B98" s="17"/>
      <c r="C98" s="16"/>
      <c r="D98" s="14"/>
      <c r="E98" s="14"/>
      <c r="F98" s="14"/>
      <c r="G98" s="14"/>
      <c r="H98" s="14"/>
      <c r="I98" s="14"/>
      <c r="J98" s="16"/>
      <c r="K98" s="16"/>
      <c r="L98" s="16"/>
      <c r="M98" s="16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2.75">
      <c r="A99" s="17"/>
      <c r="B99" s="17"/>
      <c r="C99" s="16"/>
      <c r="D99" s="14"/>
      <c r="E99" s="14"/>
      <c r="F99" s="14"/>
      <c r="G99" s="14"/>
      <c r="H99" s="14"/>
      <c r="I99" s="14"/>
      <c r="J99" s="16"/>
      <c r="K99" s="16"/>
      <c r="L99" s="16"/>
      <c r="M99" s="16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2.75">
      <c r="A100" s="17"/>
      <c r="B100" s="17"/>
      <c r="C100" s="16"/>
      <c r="D100" s="14"/>
      <c r="E100" s="14"/>
      <c r="F100" s="14"/>
      <c r="G100" s="14"/>
      <c r="H100" s="14"/>
      <c r="I100" s="14"/>
      <c r="J100" s="16"/>
      <c r="K100" s="16"/>
      <c r="L100" s="16"/>
      <c r="M100" s="16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2.75">
      <c r="A101" s="17"/>
      <c r="B101" s="17"/>
      <c r="C101" s="16"/>
      <c r="D101" s="14"/>
      <c r="E101" s="14"/>
      <c r="F101" s="14"/>
      <c r="G101" s="14"/>
      <c r="H101" s="14"/>
      <c r="I101" s="14"/>
      <c r="J101" s="16"/>
      <c r="K101" s="16"/>
      <c r="L101" s="16"/>
      <c r="M101" s="16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2.75">
      <c r="A102" s="17"/>
      <c r="B102" s="17"/>
      <c r="C102" s="16"/>
      <c r="D102" s="14"/>
      <c r="E102" s="14"/>
      <c r="F102" s="14"/>
      <c r="G102" s="14"/>
      <c r="H102" s="14"/>
      <c r="I102" s="14"/>
      <c r="J102" s="16"/>
      <c r="K102" s="16"/>
      <c r="L102" s="16"/>
      <c r="M102" s="16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>
      <c r="A103" s="17"/>
      <c r="B103" s="17"/>
      <c r="C103" s="16"/>
      <c r="D103" s="14"/>
      <c r="E103" s="14"/>
      <c r="F103" s="14"/>
      <c r="G103" s="14"/>
      <c r="H103" s="14"/>
      <c r="I103" s="14"/>
      <c r="J103" s="16"/>
      <c r="K103" s="16"/>
      <c r="L103" s="16"/>
      <c r="M103" s="16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2.75">
      <c r="A104" s="17"/>
      <c r="B104" s="17"/>
      <c r="C104" s="16"/>
      <c r="D104" s="14"/>
      <c r="E104" s="14"/>
      <c r="F104" s="14"/>
      <c r="G104" s="14"/>
      <c r="H104" s="14"/>
      <c r="I104" s="14"/>
      <c r="J104" s="16"/>
      <c r="K104" s="16"/>
      <c r="L104" s="16"/>
      <c r="M104" s="16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2.75">
      <c r="A105" s="17"/>
      <c r="B105" s="17"/>
      <c r="C105" s="16"/>
      <c r="D105" s="14"/>
      <c r="E105" s="14"/>
      <c r="F105" s="14"/>
      <c r="G105" s="14"/>
      <c r="H105" s="14"/>
      <c r="I105" s="14"/>
      <c r="J105" s="16"/>
      <c r="K105" s="16"/>
      <c r="L105" s="16"/>
      <c r="M105" s="16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2.75">
      <c r="A106" s="17"/>
      <c r="B106" s="17"/>
      <c r="C106" s="16"/>
      <c r="D106" s="14"/>
      <c r="E106" s="14"/>
      <c r="F106" s="14"/>
      <c r="G106" s="14"/>
      <c r="H106" s="14"/>
      <c r="I106" s="14"/>
      <c r="J106" s="16"/>
      <c r="K106" s="16"/>
      <c r="L106" s="16"/>
      <c r="M106" s="16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2.75">
      <c r="A107" s="17"/>
      <c r="B107" s="17"/>
      <c r="C107" s="16"/>
      <c r="D107" s="14"/>
      <c r="E107" s="14"/>
      <c r="F107" s="14"/>
      <c r="G107" s="14"/>
      <c r="H107" s="14"/>
      <c r="I107" s="14"/>
      <c r="J107" s="16"/>
      <c r="K107" s="16"/>
      <c r="L107" s="16"/>
      <c r="M107" s="16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2.75">
      <c r="A108" s="17"/>
      <c r="B108" s="17"/>
      <c r="C108" s="16"/>
      <c r="D108" s="14"/>
      <c r="E108" s="14"/>
      <c r="F108" s="14"/>
      <c r="G108" s="14"/>
      <c r="H108" s="14"/>
      <c r="I108" s="14"/>
      <c r="J108" s="16"/>
      <c r="K108" s="16"/>
      <c r="L108" s="16"/>
      <c r="M108" s="16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2.75">
      <c r="A109" s="17"/>
      <c r="B109" s="17"/>
      <c r="C109" s="16"/>
      <c r="D109" s="14"/>
      <c r="E109" s="14"/>
      <c r="F109" s="14"/>
      <c r="G109" s="14"/>
      <c r="H109" s="14"/>
      <c r="I109" s="14"/>
      <c r="J109" s="16"/>
      <c r="K109" s="16"/>
      <c r="L109" s="16"/>
      <c r="M109" s="16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2.75">
      <c r="A110" s="17"/>
      <c r="B110" s="17"/>
      <c r="C110" s="16"/>
      <c r="D110" s="14"/>
      <c r="E110" s="14"/>
      <c r="F110" s="14"/>
      <c r="G110" s="14"/>
      <c r="H110" s="14"/>
      <c r="I110" s="14"/>
      <c r="J110" s="16"/>
      <c r="K110" s="16"/>
      <c r="L110" s="16"/>
      <c r="M110" s="16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2.75">
      <c r="A111" s="17"/>
      <c r="B111" s="17"/>
      <c r="C111" s="16"/>
      <c r="D111" s="14"/>
      <c r="E111" s="14"/>
      <c r="F111" s="14"/>
      <c r="G111" s="14"/>
      <c r="H111" s="14"/>
      <c r="I111" s="14"/>
      <c r="J111" s="16"/>
      <c r="K111" s="16"/>
      <c r="L111" s="16"/>
      <c r="M111" s="16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2.75">
      <c r="A112" s="17"/>
      <c r="B112" s="17"/>
      <c r="C112" s="16"/>
      <c r="D112" s="14"/>
      <c r="E112" s="14"/>
      <c r="F112" s="14"/>
      <c r="G112" s="14"/>
      <c r="H112" s="14"/>
      <c r="I112" s="14"/>
      <c r="J112" s="16"/>
      <c r="K112" s="16"/>
      <c r="L112" s="16"/>
      <c r="M112" s="16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>
      <c r="A113" s="17"/>
      <c r="B113" s="17"/>
      <c r="C113" s="16"/>
      <c r="D113" s="14"/>
      <c r="E113" s="14"/>
      <c r="F113" s="14"/>
      <c r="G113" s="14"/>
      <c r="H113" s="14"/>
      <c r="I113" s="14"/>
      <c r="J113" s="16"/>
      <c r="K113" s="16"/>
      <c r="L113" s="16"/>
      <c r="M113" s="16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>
      <c r="A114" s="17"/>
      <c r="B114" s="17"/>
      <c r="C114" s="16"/>
      <c r="D114" s="14"/>
      <c r="E114" s="14"/>
      <c r="F114" s="14"/>
      <c r="G114" s="14"/>
      <c r="H114" s="14"/>
      <c r="I114" s="14"/>
      <c r="J114" s="16"/>
      <c r="K114" s="16"/>
      <c r="L114" s="16"/>
      <c r="M114" s="16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2.75">
      <c r="A115" s="17"/>
      <c r="B115" s="17"/>
      <c r="C115" s="16"/>
      <c r="D115" s="14"/>
      <c r="E115" s="14"/>
      <c r="F115" s="14"/>
      <c r="G115" s="14"/>
      <c r="H115" s="14"/>
      <c r="I115" s="14"/>
      <c r="J115" s="16"/>
      <c r="K115" s="16"/>
      <c r="L115" s="16"/>
      <c r="M115" s="16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2.75">
      <c r="A116" s="17"/>
      <c r="B116" s="17"/>
      <c r="C116" s="16"/>
      <c r="D116" s="14"/>
      <c r="E116" s="14"/>
      <c r="F116" s="14"/>
      <c r="G116" s="14"/>
      <c r="H116" s="14"/>
      <c r="I116" s="14"/>
      <c r="J116" s="16"/>
      <c r="K116" s="16"/>
      <c r="L116" s="16"/>
      <c r="M116" s="16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2.75">
      <c r="A117" s="17"/>
      <c r="B117" s="17"/>
      <c r="C117" s="16"/>
      <c r="D117" s="14"/>
      <c r="E117" s="14"/>
      <c r="F117" s="14"/>
      <c r="G117" s="14"/>
      <c r="H117" s="14"/>
      <c r="I117" s="14"/>
      <c r="J117" s="16"/>
      <c r="K117" s="16"/>
      <c r="L117" s="16"/>
      <c r="M117" s="16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2.75">
      <c r="A118" s="17"/>
      <c r="B118" s="17"/>
      <c r="C118" s="16"/>
      <c r="D118" s="14"/>
      <c r="E118" s="14"/>
      <c r="F118" s="14"/>
      <c r="G118" s="14"/>
      <c r="H118" s="14"/>
      <c r="I118" s="14"/>
      <c r="J118" s="16"/>
      <c r="K118" s="16"/>
      <c r="L118" s="16"/>
      <c r="M118" s="16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2.75">
      <c r="A119" s="17"/>
      <c r="B119" s="17"/>
      <c r="C119" s="16"/>
      <c r="D119" s="14"/>
      <c r="E119" s="14"/>
      <c r="F119" s="14"/>
      <c r="G119" s="14"/>
      <c r="H119" s="14"/>
      <c r="I119" s="14"/>
      <c r="J119" s="16"/>
      <c r="K119" s="16"/>
      <c r="L119" s="16"/>
      <c r="M119" s="16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2.75">
      <c r="A120" s="17"/>
      <c r="B120" s="17"/>
      <c r="C120" s="16"/>
      <c r="D120" s="14"/>
      <c r="E120" s="14"/>
      <c r="F120" s="14"/>
      <c r="G120" s="14"/>
      <c r="H120" s="14"/>
      <c r="I120" s="14"/>
      <c r="J120" s="16"/>
      <c r="K120" s="16"/>
      <c r="L120" s="16"/>
      <c r="M120" s="16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2.75">
      <c r="A121" s="17"/>
      <c r="B121" s="17"/>
      <c r="C121" s="16"/>
      <c r="D121" s="14"/>
      <c r="E121" s="14"/>
      <c r="F121" s="14"/>
      <c r="G121" s="14"/>
      <c r="H121" s="14"/>
      <c r="I121" s="14"/>
      <c r="J121" s="16"/>
      <c r="K121" s="16"/>
      <c r="L121" s="16"/>
      <c r="M121" s="16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2.75">
      <c r="A122" s="17"/>
      <c r="B122" s="17"/>
      <c r="C122" s="16"/>
      <c r="D122" s="14"/>
      <c r="E122" s="14"/>
      <c r="F122" s="14"/>
      <c r="G122" s="14"/>
      <c r="H122" s="14"/>
      <c r="I122" s="14"/>
      <c r="J122" s="16"/>
      <c r="K122" s="16"/>
      <c r="L122" s="16"/>
      <c r="M122" s="16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>
      <c r="A123" s="17"/>
      <c r="B123" s="17"/>
      <c r="C123" s="16"/>
      <c r="D123" s="14"/>
      <c r="E123" s="14"/>
      <c r="F123" s="14"/>
      <c r="G123" s="14"/>
      <c r="H123" s="14"/>
      <c r="I123" s="14"/>
      <c r="J123" s="16"/>
      <c r="K123" s="16"/>
      <c r="L123" s="16"/>
      <c r="M123" s="16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2.75">
      <c r="A124" s="17"/>
      <c r="B124" s="17"/>
      <c r="C124" s="16"/>
      <c r="D124" s="14"/>
      <c r="E124" s="14"/>
      <c r="F124" s="14"/>
      <c r="G124" s="14"/>
      <c r="H124" s="14"/>
      <c r="I124" s="14"/>
      <c r="J124" s="16"/>
      <c r="K124" s="16"/>
      <c r="L124" s="16"/>
      <c r="M124" s="16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2.75">
      <c r="A125" s="17"/>
      <c r="B125" s="17"/>
      <c r="C125" s="16"/>
      <c r="D125" s="14"/>
      <c r="E125" s="14"/>
      <c r="F125" s="14"/>
      <c r="G125" s="14"/>
      <c r="H125" s="14"/>
      <c r="I125" s="14"/>
      <c r="J125" s="16"/>
      <c r="K125" s="16"/>
      <c r="L125" s="16"/>
      <c r="M125" s="16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>
      <c r="A126" s="17"/>
      <c r="B126" s="17"/>
      <c r="C126" s="16"/>
      <c r="D126" s="14"/>
      <c r="E126" s="14"/>
      <c r="F126" s="14"/>
      <c r="G126" s="14"/>
      <c r="H126" s="14"/>
      <c r="I126" s="14"/>
      <c r="J126" s="16"/>
      <c r="K126" s="16"/>
      <c r="L126" s="16"/>
      <c r="M126" s="16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2.75">
      <c r="A127" s="17"/>
      <c r="B127" s="17"/>
      <c r="C127" s="16"/>
      <c r="D127" s="14"/>
      <c r="E127" s="14"/>
      <c r="F127" s="14"/>
      <c r="G127" s="14"/>
      <c r="H127" s="14"/>
      <c r="I127" s="14"/>
      <c r="J127" s="16"/>
      <c r="K127" s="16"/>
      <c r="L127" s="16"/>
      <c r="M127" s="16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2.75">
      <c r="A128" s="17"/>
      <c r="B128" s="17"/>
      <c r="C128" s="16"/>
      <c r="D128" s="14"/>
      <c r="E128" s="14"/>
      <c r="F128" s="14"/>
      <c r="G128" s="14"/>
      <c r="H128" s="14"/>
      <c r="I128" s="14"/>
      <c r="J128" s="16"/>
      <c r="K128" s="16"/>
      <c r="L128" s="16"/>
      <c r="M128" s="16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2.75">
      <c r="A129" s="17"/>
      <c r="B129" s="17"/>
      <c r="C129" s="16"/>
      <c r="D129" s="14"/>
      <c r="E129" s="14"/>
      <c r="F129" s="14"/>
      <c r="G129" s="14"/>
      <c r="H129" s="14"/>
      <c r="I129" s="14"/>
      <c r="J129" s="16"/>
      <c r="K129" s="16"/>
      <c r="L129" s="16"/>
      <c r="M129" s="16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2.75">
      <c r="A130" s="17"/>
      <c r="B130" s="17"/>
      <c r="C130" s="16"/>
      <c r="D130" s="14"/>
      <c r="E130" s="14"/>
      <c r="F130" s="14"/>
      <c r="G130" s="14"/>
      <c r="H130" s="14"/>
      <c r="I130" s="14"/>
      <c r="J130" s="16"/>
      <c r="K130" s="16"/>
      <c r="L130" s="16"/>
      <c r="M130" s="16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>
      <c r="A131" s="17"/>
      <c r="B131" s="17"/>
      <c r="C131" s="16"/>
      <c r="D131" s="14"/>
      <c r="E131" s="14"/>
      <c r="F131" s="14"/>
      <c r="G131" s="14"/>
      <c r="H131" s="14"/>
      <c r="I131" s="14"/>
      <c r="J131" s="16"/>
      <c r="K131" s="16"/>
      <c r="L131" s="16"/>
      <c r="M131" s="16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>
      <c r="A132" s="17"/>
      <c r="B132" s="17"/>
      <c r="C132" s="16"/>
      <c r="D132" s="14"/>
      <c r="E132" s="14"/>
      <c r="F132" s="14"/>
      <c r="G132" s="14"/>
      <c r="H132" s="14"/>
      <c r="I132" s="14"/>
      <c r="J132" s="16"/>
      <c r="K132" s="16"/>
      <c r="L132" s="16"/>
      <c r="M132" s="16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2.75">
      <c r="A133" s="17"/>
      <c r="B133" s="17"/>
      <c r="C133" s="16"/>
      <c r="D133" s="14"/>
      <c r="E133" s="14"/>
      <c r="F133" s="14"/>
      <c r="G133" s="14"/>
      <c r="H133" s="14"/>
      <c r="I133" s="14"/>
      <c r="J133" s="16"/>
      <c r="K133" s="16"/>
      <c r="L133" s="16"/>
      <c r="M133" s="16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2.75">
      <c r="A134" s="17"/>
      <c r="B134" s="17"/>
      <c r="C134" s="16"/>
      <c r="D134" s="14"/>
      <c r="E134" s="14"/>
      <c r="F134" s="14"/>
      <c r="G134" s="14"/>
      <c r="H134" s="14"/>
      <c r="I134" s="14"/>
      <c r="J134" s="16"/>
      <c r="K134" s="16"/>
      <c r="L134" s="16"/>
      <c r="M134" s="16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2.75">
      <c r="A135" s="17"/>
      <c r="B135" s="17"/>
      <c r="C135" s="16"/>
      <c r="D135" s="14"/>
      <c r="E135" s="14"/>
      <c r="F135" s="14"/>
      <c r="G135" s="14"/>
      <c r="H135" s="14"/>
      <c r="I135" s="14"/>
      <c r="J135" s="16"/>
      <c r="K135" s="16"/>
      <c r="L135" s="16"/>
      <c r="M135" s="16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2.75">
      <c r="A136" s="17"/>
      <c r="B136" s="17"/>
      <c r="C136" s="16"/>
      <c r="D136" s="14"/>
      <c r="E136" s="14"/>
      <c r="F136" s="14"/>
      <c r="G136" s="14"/>
      <c r="H136" s="14"/>
      <c r="I136" s="14"/>
      <c r="J136" s="16"/>
      <c r="K136" s="16"/>
      <c r="L136" s="16"/>
      <c r="M136" s="16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>
      <c r="A137" s="17"/>
      <c r="B137" s="17"/>
      <c r="C137" s="16"/>
      <c r="D137" s="14"/>
      <c r="E137" s="14"/>
      <c r="F137" s="14"/>
      <c r="G137" s="14"/>
      <c r="H137" s="14"/>
      <c r="I137" s="14"/>
      <c r="J137" s="16"/>
      <c r="K137" s="16"/>
      <c r="L137" s="16"/>
      <c r="M137" s="16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2.75">
      <c r="A138" s="17"/>
      <c r="B138" s="17"/>
      <c r="C138" s="16"/>
      <c r="D138" s="14"/>
      <c r="E138" s="14"/>
      <c r="F138" s="14"/>
      <c r="G138" s="14"/>
      <c r="H138" s="14"/>
      <c r="I138" s="14"/>
      <c r="J138" s="16"/>
      <c r="K138" s="16"/>
      <c r="L138" s="16"/>
      <c r="M138" s="16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2.75">
      <c r="A139" s="17"/>
      <c r="B139" s="17"/>
      <c r="C139" s="16"/>
      <c r="D139" s="14"/>
      <c r="E139" s="14"/>
      <c r="F139" s="14"/>
      <c r="G139" s="14"/>
      <c r="H139" s="14"/>
      <c r="I139" s="14"/>
      <c r="J139" s="16"/>
      <c r="K139" s="16"/>
      <c r="L139" s="16"/>
      <c r="M139" s="16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2.75">
      <c r="A140" s="17"/>
      <c r="B140" s="17"/>
      <c r="C140" s="16"/>
      <c r="D140" s="14"/>
      <c r="E140" s="14"/>
      <c r="F140" s="14"/>
      <c r="G140" s="14"/>
      <c r="H140" s="14"/>
      <c r="I140" s="14"/>
      <c r="J140" s="16"/>
      <c r="K140" s="16"/>
      <c r="L140" s="16"/>
      <c r="M140" s="16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2.75">
      <c r="A141" s="17"/>
      <c r="B141" s="17"/>
      <c r="C141" s="16"/>
      <c r="D141" s="14"/>
      <c r="E141" s="14"/>
      <c r="F141" s="14"/>
      <c r="G141" s="14"/>
      <c r="H141" s="14"/>
      <c r="I141" s="14"/>
      <c r="J141" s="16"/>
      <c r="K141" s="16"/>
      <c r="L141" s="16"/>
      <c r="M141" s="16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2.75">
      <c r="A142" s="17"/>
      <c r="B142" s="17"/>
      <c r="C142" s="16"/>
      <c r="D142" s="14"/>
      <c r="E142" s="14"/>
      <c r="F142" s="14"/>
      <c r="G142" s="14"/>
      <c r="H142" s="14"/>
      <c r="I142" s="14"/>
      <c r="J142" s="16"/>
      <c r="K142" s="16"/>
      <c r="L142" s="16"/>
      <c r="M142" s="16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2.75">
      <c r="A143" s="17"/>
      <c r="B143" s="17"/>
      <c r="C143" s="16"/>
      <c r="D143" s="14"/>
      <c r="E143" s="14"/>
      <c r="F143" s="14"/>
      <c r="G143" s="14"/>
      <c r="H143" s="14"/>
      <c r="I143" s="14"/>
      <c r="J143" s="16"/>
      <c r="K143" s="16"/>
      <c r="L143" s="16"/>
      <c r="M143" s="16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2.75">
      <c r="A144" s="17"/>
      <c r="B144" s="17"/>
      <c r="C144" s="16"/>
      <c r="D144" s="14"/>
      <c r="E144" s="14"/>
      <c r="F144" s="14"/>
      <c r="G144" s="14"/>
      <c r="H144" s="14"/>
      <c r="I144" s="14"/>
      <c r="J144" s="16"/>
      <c r="K144" s="16"/>
      <c r="L144" s="16"/>
      <c r="M144" s="16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2.75">
      <c r="A145" s="17"/>
      <c r="B145" s="17"/>
      <c r="C145" s="16"/>
      <c r="D145" s="14"/>
      <c r="E145" s="14"/>
      <c r="F145" s="14"/>
      <c r="G145" s="14"/>
      <c r="H145" s="14"/>
      <c r="I145" s="14"/>
      <c r="J145" s="16"/>
      <c r="K145" s="16"/>
      <c r="L145" s="16"/>
      <c r="M145" s="16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2.75">
      <c r="A146" s="17"/>
      <c r="B146" s="17"/>
      <c r="C146" s="16"/>
      <c r="D146" s="14"/>
      <c r="E146" s="14"/>
      <c r="F146" s="14"/>
      <c r="G146" s="14"/>
      <c r="H146" s="14"/>
      <c r="I146" s="14"/>
      <c r="J146" s="16"/>
      <c r="K146" s="16"/>
      <c r="L146" s="16"/>
      <c r="M146" s="16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>
      <c r="A147" s="17"/>
      <c r="B147" s="17"/>
      <c r="C147" s="16"/>
      <c r="D147" s="14"/>
      <c r="E147" s="14"/>
      <c r="F147" s="14"/>
      <c r="G147" s="14"/>
      <c r="H147" s="14"/>
      <c r="I147" s="14"/>
      <c r="J147" s="16"/>
      <c r="K147" s="16"/>
      <c r="L147" s="16"/>
      <c r="M147" s="16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2.75">
      <c r="A148" s="17"/>
      <c r="B148" s="17"/>
      <c r="C148" s="16"/>
      <c r="D148" s="14"/>
      <c r="E148" s="14"/>
      <c r="F148" s="14"/>
      <c r="G148" s="14"/>
      <c r="H148" s="14"/>
      <c r="I148" s="14"/>
      <c r="J148" s="16"/>
      <c r="K148" s="16"/>
      <c r="L148" s="16"/>
      <c r="M148" s="16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2.75">
      <c r="A149" s="17"/>
      <c r="B149" s="17"/>
      <c r="C149" s="16"/>
      <c r="D149" s="14"/>
      <c r="E149" s="14"/>
      <c r="F149" s="14"/>
      <c r="G149" s="14"/>
      <c r="H149" s="14"/>
      <c r="I149" s="14"/>
      <c r="J149" s="16"/>
      <c r="K149" s="16"/>
      <c r="L149" s="16"/>
      <c r="M149" s="16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2.75">
      <c r="A150" s="17"/>
      <c r="B150" s="17"/>
      <c r="C150" s="16"/>
      <c r="D150" s="14"/>
      <c r="E150" s="14"/>
      <c r="F150" s="14"/>
      <c r="G150" s="14"/>
      <c r="H150" s="14"/>
      <c r="I150" s="14"/>
      <c r="J150" s="16"/>
      <c r="K150" s="16"/>
      <c r="L150" s="16"/>
      <c r="M150" s="16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2.75">
      <c r="A151" s="17"/>
      <c r="B151" s="17"/>
      <c r="C151" s="16"/>
      <c r="D151" s="14"/>
      <c r="E151" s="14"/>
      <c r="F151" s="14"/>
      <c r="G151" s="14"/>
      <c r="H151" s="14"/>
      <c r="I151" s="14"/>
      <c r="J151" s="16"/>
      <c r="K151" s="16"/>
      <c r="L151" s="16"/>
      <c r="M151" s="16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2.75">
      <c r="A152" s="17"/>
      <c r="B152" s="17"/>
      <c r="C152" s="16"/>
      <c r="D152" s="14"/>
      <c r="E152" s="14"/>
      <c r="F152" s="14"/>
      <c r="G152" s="14"/>
      <c r="H152" s="14"/>
      <c r="I152" s="14"/>
      <c r="J152" s="16"/>
      <c r="K152" s="16"/>
      <c r="L152" s="16"/>
      <c r="M152" s="16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2.75">
      <c r="A153" s="17"/>
      <c r="B153" s="17"/>
      <c r="C153" s="16"/>
      <c r="D153" s="14"/>
      <c r="E153" s="14"/>
      <c r="F153" s="14"/>
      <c r="G153" s="14"/>
      <c r="H153" s="14"/>
      <c r="I153" s="14"/>
      <c r="J153" s="16"/>
      <c r="K153" s="16"/>
      <c r="L153" s="16"/>
      <c r="M153" s="16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2.75">
      <c r="A154" s="17"/>
      <c r="B154" s="17"/>
      <c r="C154" s="16"/>
      <c r="D154" s="14"/>
      <c r="E154" s="14"/>
      <c r="F154" s="14"/>
      <c r="G154" s="14"/>
      <c r="H154" s="14"/>
      <c r="I154" s="14"/>
      <c r="J154" s="16"/>
      <c r="K154" s="16"/>
      <c r="L154" s="16"/>
      <c r="M154" s="16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2.75">
      <c r="A155" s="17"/>
      <c r="B155" s="17"/>
      <c r="C155" s="16"/>
      <c r="D155" s="14"/>
      <c r="E155" s="14"/>
      <c r="F155" s="14"/>
      <c r="G155" s="14"/>
      <c r="H155" s="14"/>
      <c r="I155" s="14"/>
      <c r="J155" s="16"/>
      <c r="K155" s="16"/>
      <c r="L155" s="16"/>
      <c r="M155" s="16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2.75">
      <c r="A156" s="17"/>
      <c r="B156" s="17"/>
      <c r="C156" s="16"/>
      <c r="D156" s="14"/>
      <c r="E156" s="14"/>
      <c r="F156" s="14"/>
      <c r="G156" s="14"/>
      <c r="H156" s="14"/>
      <c r="I156" s="14"/>
      <c r="J156" s="16"/>
      <c r="K156" s="16"/>
      <c r="L156" s="16"/>
      <c r="M156" s="16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>
      <c r="A157" s="17"/>
      <c r="B157" s="17"/>
      <c r="C157" s="16"/>
      <c r="D157" s="14"/>
      <c r="E157" s="14"/>
      <c r="F157" s="14"/>
      <c r="G157" s="14"/>
      <c r="H157" s="14"/>
      <c r="I157" s="14"/>
      <c r="J157" s="16"/>
      <c r="K157" s="16"/>
      <c r="L157" s="16"/>
      <c r="M157" s="16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2.75">
      <c r="A158" s="17"/>
      <c r="B158" s="17"/>
      <c r="C158" s="16"/>
      <c r="D158" s="14"/>
      <c r="E158" s="14"/>
      <c r="F158" s="14"/>
      <c r="G158" s="14"/>
      <c r="H158" s="14"/>
      <c r="I158" s="14"/>
      <c r="J158" s="16"/>
      <c r="K158" s="16"/>
      <c r="L158" s="16"/>
      <c r="M158" s="16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2.75">
      <c r="A159" s="17"/>
      <c r="B159" s="17"/>
      <c r="C159" s="16"/>
      <c r="D159" s="14"/>
      <c r="E159" s="14"/>
      <c r="F159" s="14"/>
      <c r="G159" s="14"/>
      <c r="H159" s="14"/>
      <c r="I159" s="14"/>
      <c r="J159" s="16"/>
      <c r="K159" s="16"/>
      <c r="L159" s="16"/>
      <c r="M159" s="16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2.75">
      <c r="A160" s="17"/>
      <c r="B160" s="17"/>
      <c r="C160" s="16"/>
      <c r="D160" s="14"/>
      <c r="E160" s="14"/>
      <c r="F160" s="14"/>
      <c r="G160" s="14"/>
      <c r="H160" s="14"/>
      <c r="I160" s="14"/>
      <c r="J160" s="16"/>
      <c r="K160" s="16"/>
      <c r="L160" s="16"/>
      <c r="M160" s="16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2.75">
      <c r="A161" s="17"/>
      <c r="B161" s="17"/>
      <c r="C161" s="16"/>
      <c r="D161" s="14"/>
      <c r="E161" s="14"/>
      <c r="F161" s="14"/>
      <c r="G161" s="14"/>
      <c r="H161" s="14"/>
      <c r="I161" s="14"/>
      <c r="J161" s="16"/>
      <c r="K161" s="16"/>
      <c r="L161" s="16"/>
      <c r="M161" s="16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2.75">
      <c r="A162" s="17"/>
      <c r="B162" s="17"/>
      <c r="C162" s="16"/>
      <c r="D162" s="14"/>
      <c r="E162" s="14"/>
      <c r="F162" s="14"/>
      <c r="G162" s="14"/>
      <c r="H162" s="14"/>
      <c r="I162" s="14"/>
      <c r="J162" s="16"/>
      <c r="K162" s="16"/>
      <c r="L162" s="16"/>
      <c r="M162" s="16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2.75">
      <c r="A163" s="17"/>
      <c r="B163" s="17"/>
      <c r="C163" s="16"/>
      <c r="D163" s="14"/>
      <c r="E163" s="14"/>
      <c r="F163" s="14"/>
      <c r="G163" s="14"/>
      <c r="H163" s="14"/>
      <c r="I163" s="14"/>
      <c r="J163" s="16"/>
      <c r="K163" s="16"/>
      <c r="L163" s="16"/>
      <c r="M163" s="16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2.75">
      <c r="A164" s="17"/>
      <c r="B164" s="17"/>
      <c r="C164" s="16"/>
      <c r="D164" s="14"/>
      <c r="E164" s="14"/>
      <c r="F164" s="14"/>
      <c r="G164" s="14"/>
      <c r="H164" s="14"/>
      <c r="I164" s="14"/>
      <c r="J164" s="16"/>
      <c r="K164" s="16"/>
      <c r="L164" s="16"/>
      <c r="M164" s="16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2.75">
      <c r="A165" s="17"/>
      <c r="B165" s="17"/>
      <c r="C165" s="16"/>
      <c r="D165" s="14"/>
      <c r="E165" s="14"/>
      <c r="F165" s="14"/>
      <c r="G165" s="14"/>
      <c r="H165" s="14"/>
      <c r="I165" s="14"/>
      <c r="J165" s="16"/>
      <c r="K165" s="16"/>
      <c r="L165" s="16"/>
      <c r="M165" s="16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2.75">
      <c r="A166" s="17"/>
      <c r="B166" s="17"/>
      <c r="C166" s="16"/>
      <c r="D166" s="14"/>
      <c r="E166" s="14"/>
      <c r="F166" s="14"/>
      <c r="G166" s="14"/>
      <c r="H166" s="14"/>
      <c r="I166" s="14"/>
      <c r="J166" s="16"/>
      <c r="K166" s="16"/>
      <c r="L166" s="16"/>
      <c r="M166" s="16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>
      <c r="A167" s="17"/>
      <c r="B167" s="17"/>
      <c r="C167" s="16"/>
      <c r="D167" s="14"/>
      <c r="E167" s="14"/>
      <c r="F167" s="14"/>
      <c r="G167" s="14"/>
      <c r="H167" s="14"/>
      <c r="I167" s="14"/>
      <c r="J167" s="16"/>
      <c r="K167" s="16"/>
      <c r="L167" s="16"/>
      <c r="M167" s="16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</sheetData>
  <sheetProtection password="8AD1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21"/>
  <sheetViews>
    <sheetView workbookViewId="0" topLeftCell="A1">
      <selection activeCell="A2" sqref="A2"/>
    </sheetView>
  </sheetViews>
  <sheetFormatPr defaultColWidth="9.140625" defaultRowHeight="12.75"/>
  <cols>
    <col min="1" max="1" width="17.421875" style="7" customWidth="1"/>
    <col min="2" max="2" width="8.28125" style="88" customWidth="1"/>
    <col min="3" max="3" width="20.7109375" style="7" customWidth="1"/>
    <col min="4" max="5" width="9.140625" style="7" customWidth="1"/>
    <col min="6" max="6" width="8.8515625" style="88" customWidth="1"/>
    <col min="7" max="16384" width="9.140625" style="7" customWidth="1"/>
  </cols>
  <sheetData>
    <row r="1" spans="1:39" ht="12.75">
      <c r="A1" s="180" t="s">
        <v>256</v>
      </c>
      <c r="B1" s="59"/>
      <c r="C1" s="136"/>
      <c r="D1" s="17"/>
      <c r="E1" s="17"/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1:39" ht="12.75">
      <c r="A2" s="8" t="s">
        <v>336</v>
      </c>
      <c r="B2" s="128"/>
      <c r="C2" s="137"/>
      <c r="D2" s="17"/>
      <c r="E2" s="17"/>
      <c r="F2" s="3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2.75">
      <c r="A3" s="22" t="s">
        <v>257</v>
      </c>
      <c r="B3" s="191">
        <v>0</v>
      </c>
      <c r="C3" s="13" t="s">
        <v>2</v>
      </c>
      <c r="D3" s="17"/>
      <c r="E3" s="17"/>
      <c r="F3" s="54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12.75">
      <c r="A4" s="22" t="s">
        <v>258</v>
      </c>
      <c r="B4" s="191">
        <v>0</v>
      </c>
      <c r="C4" s="19" t="s">
        <v>2</v>
      </c>
      <c r="D4" s="17"/>
      <c r="E4" s="17"/>
      <c r="F4" s="34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12.75">
      <c r="A5" s="181" t="s">
        <v>259</v>
      </c>
      <c r="B5" s="191">
        <v>0</v>
      </c>
      <c r="C5" s="19" t="s">
        <v>2</v>
      </c>
      <c r="D5" s="17"/>
      <c r="E5" s="17"/>
      <c r="F5" s="3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ht="12.75">
      <c r="A6" s="182" t="s">
        <v>260</v>
      </c>
      <c r="B6" s="154">
        <f>IF(B20=3,B13,0)</f>
        <v>0</v>
      </c>
      <c r="C6" s="26" t="s">
        <v>10</v>
      </c>
      <c r="D6" s="17"/>
      <c r="E6" s="17"/>
      <c r="F6" s="34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ht="12.75">
      <c r="A7" s="17"/>
      <c r="B7" s="34"/>
      <c r="C7" s="30" t="s">
        <v>16</v>
      </c>
      <c r="D7" s="17"/>
      <c r="E7" s="17"/>
      <c r="F7" s="34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ht="12.75" hidden="1">
      <c r="A8" s="17"/>
      <c r="B8" s="34"/>
      <c r="C8" s="17"/>
      <c r="D8" s="17"/>
      <c r="E8" s="17"/>
      <c r="F8" s="34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ht="12.75" hidden="1">
      <c r="A9" s="17"/>
      <c r="B9" s="34"/>
      <c r="C9" s="17"/>
      <c r="D9" s="17"/>
      <c r="E9" s="17"/>
      <c r="F9" s="34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2.75" hidden="1">
      <c r="A10" s="17"/>
      <c r="B10" s="34"/>
      <c r="C10" s="17"/>
      <c r="D10" s="17"/>
      <c r="E10" s="17"/>
      <c r="F10" s="34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ht="12.75" hidden="1">
      <c r="A11" s="17"/>
      <c r="B11" s="34"/>
      <c r="C11" s="17"/>
      <c r="D11" s="17"/>
      <c r="E11" s="17"/>
      <c r="F11" s="34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12.75" hidden="1">
      <c r="A12" s="17"/>
      <c r="B12" s="34"/>
      <c r="C12" s="17"/>
      <c r="D12" s="17"/>
      <c r="E12" s="17"/>
      <c r="F12" s="34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ht="12.75" hidden="1">
      <c r="A13" s="17" t="s">
        <v>261</v>
      </c>
      <c r="B13" s="34" t="e">
        <f>((B3-B4)/(B3-B5))*100</f>
        <v>#DIV/0!</v>
      </c>
      <c r="C13" s="17"/>
      <c r="D13" s="17"/>
      <c r="E13" s="17"/>
      <c r="F13" s="34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ht="12.75" hidden="1">
      <c r="A14" s="17"/>
      <c r="B14" s="34"/>
      <c r="C14" s="17"/>
      <c r="D14" s="17"/>
      <c r="E14" s="17"/>
      <c r="F14" s="34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ht="12.75" hidden="1">
      <c r="A15" s="17"/>
      <c r="B15" s="34"/>
      <c r="C15" s="17"/>
      <c r="D15" s="17"/>
      <c r="E15" s="17"/>
      <c r="F15" s="34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ht="12.75" hidden="1">
      <c r="A16" s="17"/>
      <c r="B16" s="34"/>
      <c r="C16" s="17"/>
      <c r="D16" s="17"/>
      <c r="E16" s="17"/>
      <c r="F16" s="34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ht="12.75" hidden="1">
      <c r="A17" s="20" t="s">
        <v>257</v>
      </c>
      <c r="B17" s="34">
        <f>IF(B3&gt;0,1,0)</f>
        <v>0</v>
      </c>
      <c r="C17" s="17"/>
      <c r="D17" s="17"/>
      <c r="E17" s="17"/>
      <c r="F17" s="34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ht="12.75" hidden="1">
      <c r="A18" s="20" t="s">
        <v>258</v>
      </c>
      <c r="B18" s="34">
        <f>IF(B4&gt;0,1,0)</f>
        <v>0</v>
      </c>
      <c r="C18" s="17"/>
      <c r="D18" s="17"/>
      <c r="E18" s="17"/>
      <c r="F18" s="34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ht="12.75" hidden="1">
      <c r="A19" s="20" t="s">
        <v>259</v>
      </c>
      <c r="B19" s="34">
        <f>IF(B5&gt;0,1,0)</f>
        <v>0</v>
      </c>
      <c r="C19" s="17"/>
      <c r="D19" s="17"/>
      <c r="E19" s="17"/>
      <c r="F19" s="34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ht="12.75" hidden="1">
      <c r="A20" s="17" t="s">
        <v>108</v>
      </c>
      <c r="B20" s="34">
        <f>SUM(B17:B19)</f>
        <v>0</v>
      </c>
      <c r="C20" s="17"/>
      <c r="D20" s="17"/>
      <c r="E20" s="17"/>
      <c r="F20" s="34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ht="12.75">
      <c r="A21" s="17"/>
      <c r="B21" s="34"/>
      <c r="C21" s="17"/>
      <c r="D21" s="17"/>
      <c r="E21" s="17"/>
      <c r="F21" s="34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ht="12.75">
      <c r="A22" s="17"/>
      <c r="B22" s="34"/>
      <c r="C22" s="17"/>
      <c r="D22" s="17"/>
      <c r="E22" s="17"/>
      <c r="F22" s="34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ht="12.75">
      <c r="A23" s="17"/>
      <c r="B23" s="34"/>
      <c r="C23" s="17"/>
      <c r="D23" s="17"/>
      <c r="E23" s="17"/>
      <c r="F23" s="34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ht="12.75">
      <c r="A24" s="17"/>
      <c r="B24" s="34"/>
      <c r="C24" s="17"/>
      <c r="D24" s="17"/>
      <c r="E24" s="17"/>
      <c r="F24" s="34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ht="12.75">
      <c r="A25" s="17"/>
      <c r="B25" s="34"/>
      <c r="C25" s="17"/>
      <c r="D25" s="17"/>
      <c r="E25" s="17"/>
      <c r="F25" s="34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ht="12.75">
      <c r="A26" s="17"/>
      <c r="B26" s="34"/>
      <c r="C26" s="17"/>
      <c r="D26" s="17"/>
      <c r="E26" s="17"/>
      <c r="F26" s="34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ht="12.75">
      <c r="A27" s="17"/>
      <c r="B27" s="34"/>
      <c r="C27" s="17"/>
      <c r="D27" s="17"/>
      <c r="E27" s="17"/>
      <c r="F27" s="34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ht="12.75">
      <c r="A28" s="17"/>
      <c r="B28" s="34"/>
      <c r="C28" s="17"/>
      <c r="D28" s="17"/>
      <c r="E28" s="17"/>
      <c r="F28" s="34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ht="12.75">
      <c r="A29" s="17"/>
      <c r="B29" s="34"/>
      <c r="C29" s="17"/>
      <c r="D29" s="17"/>
      <c r="E29" s="17"/>
      <c r="F29" s="34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ht="12.75">
      <c r="A30" s="17"/>
      <c r="B30" s="34"/>
      <c r="C30" s="17"/>
      <c r="D30" s="17"/>
      <c r="E30" s="17"/>
      <c r="F30" s="34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ht="12.75">
      <c r="A31" s="17"/>
      <c r="B31" s="34"/>
      <c r="C31" s="17"/>
      <c r="D31" s="17"/>
      <c r="E31" s="17"/>
      <c r="F31" s="34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ht="12.75">
      <c r="A32" s="17"/>
      <c r="B32" s="34"/>
      <c r="C32" s="17"/>
      <c r="D32" s="17"/>
      <c r="E32" s="17"/>
      <c r="F32" s="34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ht="12.75">
      <c r="A33" s="17"/>
      <c r="B33" s="34"/>
      <c r="C33" s="17"/>
      <c r="D33" s="17"/>
      <c r="E33" s="17"/>
      <c r="F33" s="34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ht="12.75">
      <c r="A34" s="17"/>
      <c r="B34" s="34"/>
      <c r="C34" s="17"/>
      <c r="D34" s="17"/>
      <c r="E34" s="17"/>
      <c r="F34" s="34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ht="12.75">
      <c r="A35" s="17"/>
      <c r="B35" s="34"/>
      <c r="C35" s="17"/>
      <c r="D35" s="17"/>
      <c r="E35" s="17"/>
      <c r="F35" s="34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ht="12.75">
      <c r="A36" s="17"/>
      <c r="B36" s="34"/>
      <c r="C36" s="17"/>
      <c r="D36" s="17"/>
      <c r="E36" s="17"/>
      <c r="F36" s="34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ht="12.75">
      <c r="A37" s="17"/>
      <c r="B37" s="34"/>
      <c r="C37" s="17"/>
      <c r="D37" s="17"/>
      <c r="E37" s="17"/>
      <c r="F37" s="34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ht="12.75">
      <c r="A38" s="17"/>
      <c r="B38" s="34"/>
      <c r="C38" s="17"/>
      <c r="D38" s="17"/>
      <c r="E38" s="17"/>
      <c r="F38" s="34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ht="12.75">
      <c r="A39" s="17"/>
      <c r="B39" s="34"/>
      <c r="C39" s="17"/>
      <c r="D39" s="17"/>
      <c r="E39" s="17"/>
      <c r="F39" s="34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ht="12.75">
      <c r="A40" s="17"/>
      <c r="B40" s="34"/>
      <c r="C40" s="17"/>
      <c r="D40" s="17"/>
      <c r="E40" s="17"/>
      <c r="F40" s="34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ht="12.75">
      <c r="A41" s="17"/>
      <c r="B41" s="34"/>
      <c r="C41" s="17"/>
      <c r="D41" s="17"/>
      <c r="E41" s="17"/>
      <c r="F41" s="34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ht="12.75">
      <c r="A42" s="17"/>
      <c r="B42" s="34"/>
      <c r="C42" s="17"/>
      <c r="D42" s="17"/>
      <c r="E42" s="17"/>
      <c r="F42" s="34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ht="12.75">
      <c r="A43" s="17"/>
      <c r="B43" s="34"/>
      <c r="C43" s="17"/>
      <c r="D43" s="17"/>
      <c r="E43" s="17"/>
      <c r="F43" s="34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ht="12.75">
      <c r="A44" s="17"/>
      <c r="B44" s="34"/>
      <c r="C44" s="17"/>
      <c r="D44" s="17"/>
      <c r="E44" s="17"/>
      <c r="F44" s="34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ht="12.75">
      <c r="A45" s="17"/>
      <c r="B45" s="34"/>
      <c r="C45" s="17"/>
      <c r="D45" s="17"/>
      <c r="E45" s="17"/>
      <c r="F45" s="34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ht="12.75">
      <c r="A46" s="17"/>
      <c r="B46" s="34"/>
      <c r="C46" s="17"/>
      <c r="D46" s="17"/>
      <c r="E46" s="17"/>
      <c r="F46" s="34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ht="12.75">
      <c r="A47" s="17"/>
      <c r="B47" s="34"/>
      <c r="C47" s="17"/>
      <c r="D47" s="17"/>
      <c r="E47" s="17"/>
      <c r="F47" s="34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ht="12.75">
      <c r="A48" s="17"/>
      <c r="B48" s="34"/>
      <c r="C48" s="17"/>
      <c r="D48" s="17"/>
      <c r="E48" s="17"/>
      <c r="F48" s="34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ht="12.75">
      <c r="A49" s="17"/>
      <c r="B49" s="34"/>
      <c r="C49" s="17"/>
      <c r="D49" s="17"/>
      <c r="E49" s="17"/>
      <c r="F49" s="34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ht="12.75">
      <c r="A50" s="17"/>
      <c r="B50" s="34"/>
      <c r="C50" s="17"/>
      <c r="D50" s="17"/>
      <c r="E50" s="17"/>
      <c r="F50" s="34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ht="12.75">
      <c r="A51" s="17"/>
      <c r="B51" s="34"/>
      <c r="C51" s="17"/>
      <c r="D51" s="17"/>
      <c r="E51" s="17"/>
      <c r="F51" s="3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ht="12.75">
      <c r="A52" s="17"/>
      <c r="B52" s="34"/>
      <c r="C52" s="17"/>
      <c r="D52" s="17"/>
      <c r="E52" s="17"/>
      <c r="F52" s="34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ht="12.75">
      <c r="A53" s="17"/>
      <c r="B53" s="34"/>
      <c r="C53" s="17"/>
      <c r="D53" s="17"/>
      <c r="E53" s="17"/>
      <c r="F53" s="34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ht="12.75">
      <c r="A54" s="17"/>
      <c r="B54" s="34"/>
      <c r="C54" s="17"/>
      <c r="D54" s="17"/>
      <c r="E54" s="17"/>
      <c r="F54" s="34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ht="12.75">
      <c r="A55" s="17"/>
      <c r="B55" s="34"/>
      <c r="C55" s="17"/>
      <c r="D55" s="17"/>
      <c r="E55" s="17"/>
      <c r="F55" s="34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ht="12.75">
      <c r="A56" s="17"/>
      <c r="B56" s="34"/>
      <c r="C56" s="17"/>
      <c r="D56" s="17"/>
      <c r="E56" s="17"/>
      <c r="F56" s="34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ht="12.75">
      <c r="A57" s="17"/>
      <c r="B57" s="34"/>
      <c r="C57" s="17"/>
      <c r="D57" s="17"/>
      <c r="E57" s="17"/>
      <c r="F57" s="34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ht="12.75">
      <c r="A58" s="17"/>
      <c r="B58" s="34"/>
      <c r="C58" s="17"/>
      <c r="D58" s="17"/>
      <c r="E58" s="17"/>
      <c r="F58" s="34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ht="12.75">
      <c r="A59" s="17"/>
      <c r="B59" s="34"/>
      <c r="C59" s="17"/>
      <c r="D59" s="17"/>
      <c r="E59" s="17"/>
      <c r="F59" s="34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ht="12.75">
      <c r="A60" s="17"/>
      <c r="B60" s="34"/>
      <c r="C60" s="17"/>
      <c r="D60" s="17"/>
      <c r="E60" s="17"/>
      <c r="F60" s="34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ht="12.75">
      <c r="A61" s="17"/>
      <c r="B61" s="34"/>
      <c r="C61" s="17"/>
      <c r="D61" s="17"/>
      <c r="E61" s="17"/>
      <c r="F61" s="34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ht="12.75">
      <c r="A62" s="17"/>
      <c r="B62" s="34"/>
      <c r="C62" s="17"/>
      <c r="D62" s="17"/>
      <c r="E62" s="17"/>
      <c r="F62" s="34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ht="12.75">
      <c r="A63" s="17"/>
      <c r="B63" s="34"/>
      <c r="C63" s="17"/>
      <c r="D63" s="17"/>
      <c r="E63" s="17"/>
      <c r="F63" s="34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ht="12.75">
      <c r="A64" s="17"/>
      <c r="B64" s="34"/>
      <c r="C64" s="17"/>
      <c r="D64" s="17"/>
      <c r="E64" s="17"/>
      <c r="F64" s="34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ht="12.75">
      <c r="A65" s="17"/>
      <c r="B65" s="34"/>
      <c r="C65" s="17"/>
      <c r="D65" s="17"/>
      <c r="E65" s="17"/>
      <c r="F65" s="34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ht="12.75">
      <c r="A66" s="17"/>
      <c r="B66" s="34"/>
      <c r="C66" s="17"/>
      <c r="D66" s="17"/>
      <c r="E66" s="17"/>
      <c r="F66" s="34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ht="12.75">
      <c r="A67" s="17"/>
      <c r="B67" s="34"/>
      <c r="C67" s="17"/>
      <c r="D67" s="17"/>
      <c r="E67" s="17"/>
      <c r="F67" s="34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ht="12.75">
      <c r="A68" s="17"/>
      <c r="B68" s="34"/>
      <c r="C68" s="17"/>
      <c r="D68" s="17"/>
      <c r="E68" s="17"/>
      <c r="F68" s="34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ht="12.75">
      <c r="A69" s="17"/>
      <c r="B69" s="34"/>
      <c r="C69" s="17"/>
      <c r="D69" s="17"/>
      <c r="E69" s="17"/>
      <c r="F69" s="34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ht="12.75">
      <c r="A70" s="17"/>
      <c r="B70" s="34"/>
      <c r="C70" s="17"/>
      <c r="D70" s="17"/>
      <c r="E70" s="17"/>
      <c r="F70" s="34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ht="12.75">
      <c r="A71" s="17"/>
      <c r="B71" s="34"/>
      <c r="C71" s="17"/>
      <c r="D71" s="17"/>
      <c r="E71" s="17"/>
      <c r="F71" s="34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ht="12.75">
      <c r="A72" s="17"/>
      <c r="B72" s="34"/>
      <c r="C72" s="17"/>
      <c r="D72" s="17"/>
      <c r="E72" s="17"/>
      <c r="F72" s="3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ht="12.75">
      <c r="A73" s="17"/>
      <c r="B73" s="34"/>
      <c r="C73" s="17"/>
      <c r="D73" s="17"/>
      <c r="E73" s="17"/>
      <c r="F73" s="34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ht="12.75">
      <c r="A74" s="17"/>
      <c r="B74" s="34"/>
      <c r="C74" s="17"/>
      <c r="D74" s="17"/>
      <c r="E74" s="17"/>
      <c r="F74" s="34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ht="12.75">
      <c r="A75" s="17"/>
      <c r="B75" s="34"/>
      <c r="C75" s="17"/>
      <c r="D75" s="17"/>
      <c r="E75" s="17"/>
      <c r="F75" s="34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ht="12.75">
      <c r="A76" s="17"/>
      <c r="B76" s="34"/>
      <c r="C76" s="17"/>
      <c r="D76" s="17"/>
      <c r="E76" s="17"/>
      <c r="F76" s="34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ht="12.75">
      <c r="A77" s="17"/>
      <c r="B77" s="34"/>
      <c r="C77" s="17"/>
      <c r="D77" s="17"/>
      <c r="E77" s="17"/>
      <c r="F77" s="34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ht="12.75">
      <c r="A78" s="17"/>
      <c r="B78" s="34"/>
      <c r="C78" s="17"/>
      <c r="D78" s="17"/>
      <c r="E78" s="17"/>
      <c r="F78" s="34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ht="12.75">
      <c r="A79" s="17"/>
      <c r="B79" s="34"/>
      <c r="C79" s="17"/>
      <c r="D79" s="17"/>
      <c r="E79" s="17"/>
      <c r="F79" s="34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ht="12.75">
      <c r="A80" s="17"/>
      <c r="B80" s="34"/>
      <c r="C80" s="17"/>
      <c r="D80" s="17"/>
      <c r="E80" s="17"/>
      <c r="F80" s="34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ht="12.75">
      <c r="A81" s="17"/>
      <c r="B81" s="34"/>
      <c r="C81" s="17"/>
      <c r="D81" s="17"/>
      <c r="E81" s="17"/>
      <c r="F81" s="34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ht="12.75">
      <c r="A82" s="17"/>
      <c r="B82" s="34"/>
      <c r="C82" s="17"/>
      <c r="D82" s="17"/>
      <c r="E82" s="17"/>
      <c r="F82" s="34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ht="12.75">
      <c r="A83" s="17"/>
      <c r="B83" s="34"/>
      <c r="C83" s="17"/>
      <c r="D83" s="17"/>
      <c r="E83" s="17"/>
      <c r="F83" s="34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ht="12.75">
      <c r="A84" s="17"/>
      <c r="B84" s="34"/>
      <c r="C84" s="17"/>
      <c r="D84" s="17"/>
      <c r="E84" s="17"/>
      <c r="F84" s="34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ht="12.75">
      <c r="A85" s="17"/>
      <c r="B85" s="34"/>
      <c r="C85" s="17"/>
      <c r="D85" s="17"/>
      <c r="E85" s="17"/>
      <c r="F85" s="34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ht="12.75">
      <c r="A86" s="17"/>
      <c r="B86" s="34"/>
      <c r="C86" s="17"/>
      <c r="D86" s="17"/>
      <c r="E86" s="17"/>
      <c r="F86" s="34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ht="12.75">
      <c r="A87" s="17"/>
      <c r="B87" s="34"/>
      <c r="C87" s="17"/>
      <c r="D87" s="17"/>
      <c r="E87" s="17"/>
      <c r="F87" s="34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ht="12.75">
      <c r="A88" s="17"/>
      <c r="B88" s="34"/>
      <c r="C88" s="17"/>
      <c r="D88" s="17"/>
      <c r="E88" s="17"/>
      <c r="F88" s="34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ht="12.75">
      <c r="A89" s="17"/>
      <c r="B89" s="34"/>
      <c r="C89" s="17"/>
      <c r="D89" s="17"/>
      <c r="E89" s="17"/>
      <c r="F89" s="34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ht="12.75">
      <c r="A90" s="17"/>
      <c r="B90" s="34"/>
      <c r="C90" s="17"/>
      <c r="D90" s="17"/>
      <c r="E90" s="17"/>
      <c r="F90" s="34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ht="12.75">
      <c r="A91" s="17"/>
      <c r="B91" s="34"/>
      <c r="C91" s="17"/>
      <c r="D91" s="17"/>
      <c r="E91" s="17"/>
      <c r="F91" s="34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ht="12.75">
      <c r="A92" s="17"/>
      <c r="B92" s="34"/>
      <c r="C92" s="17"/>
      <c r="D92" s="17"/>
      <c r="E92" s="17"/>
      <c r="F92" s="34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ht="12.75">
      <c r="A93" s="17"/>
      <c r="B93" s="34"/>
      <c r="C93" s="17"/>
      <c r="D93" s="17"/>
      <c r="E93" s="17"/>
      <c r="F93" s="34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ht="12.75">
      <c r="A94" s="17"/>
      <c r="B94" s="34"/>
      <c r="C94" s="17"/>
      <c r="D94" s="17"/>
      <c r="E94" s="17"/>
      <c r="F94" s="34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ht="12.75">
      <c r="A95" s="17"/>
      <c r="B95" s="34"/>
      <c r="C95" s="17"/>
      <c r="D95" s="17"/>
      <c r="E95" s="17"/>
      <c r="F95" s="34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ht="12.75">
      <c r="A96" s="17"/>
      <c r="B96" s="34"/>
      <c r="C96" s="17"/>
      <c r="D96" s="17"/>
      <c r="E96" s="17"/>
      <c r="F96" s="34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ht="12.75">
      <c r="A97" s="17"/>
      <c r="B97" s="34"/>
      <c r="C97" s="17"/>
      <c r="D97" s="17"/>
      <c r="E97" s="17"/>
      <c r="F97" s="34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ht="12.75">
      <c r="A98" s="17"/>
      <c r="B98" s="34"/>
      <c r="C98" s="17"/>
      <c r="D98" s="17"/>
      <c r="E98" s="17"/>
      <c r="F98" s="34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ht="12.75">
      <c r="A99" s="17"/>
      <c r="B99" s="34"/>
      <c r="C99" s="17"/>
      <c r="D99" s="17"/>
      <c r="E99" s="17"/>
      <c r="F99" s="34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ht="12.75">
      <c r="A100" s="17"/>
      <c r="B100" s="34"/>
      <c r="C100" s="17"/>
      <c r="D100" s="17"/>
      <c r="E100" s="17"/>
      <c r="F100" s="34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ht="12.75">
      <c r="A101" s="17"/>
      <c r="B101" s="34"/>
      <c r="C101" s="17"/>
      <c r="D101" s="17"/>
      <c r="E101" s="17"/>
      <c r="F101" s="34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ht="12.75">
      <c r="A102" s="17"/>
      <c r="B102" s="34"/>
      <c r="C102" s="17"/>
      <c r="D102" s="17"/>
      <c r="E102" s="17"/>
      <c r="F102" s="34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ht="12.75">
      <c r="A103" s="17"/>
      <c r="B103" s="34"/>
      <c r="C103" s="17"/>
      <c r="D103" s="17"/>
      <c r="E103" s="17"/>
      <c r="F103" s="34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ht="12.75">
      <c r="A104" s="17"/>
      <c r="B104" s="34"/>
      <c r="C104" s="17"/>
      <c r="D104" s="17"/>
      <c r="E104" s="17"/>
      <c r="F104" s="34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ht="12.75">
      <c r="A105" s="17"/>
      <c r="B105" s="34"/>
      <c r="C105" s="17"/>
      <c r="D105" s="17"/>
      <c r="E105" s="17"/>
      <c r="F105" s="34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ht="12.75">
      <c r="A106" s="17"/>
      <c r="B106" s="34"/>
      <c r="C106" s="17"/>
      <c r="D106" s="17"/>
      <c r="E106" s="17"/>
      <c r="F106" s="34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ht="12.75">
      <c r="A107" s="17"/>
      <c r="B107" s="34"/>
      <c r="C107" s="17"/>
      <c r="D107" s="17"/>
      <c r="E107" s="17"/>
      <c r="F107" s="34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ht="12.75">
      <c r="A108" s="17"/>
      <c r="B108" s="34"/>
      <c r="C108" s="17"/>
      <c r="D108" s="17"/>
      <c r="E108" s="17"/>
      <c r="F108" s="34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ht="12.75">
      <c r="A109" s="17"/>
      <c r="B109" s="34"/>
      <c r="C109" s="17"/>
      <c r="D109" s="17"/>
      <c r="E109" s="17"/>
      <c r="F109" s="34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ht="12.75">
      <c r="A110" s="17"/>
      <c r="B110" s="34"/>
      <c r="C110" s="17"/>
      <c r="D110" s="17"/>
      <c r="E110" s="17"/>
      <c r="F110" s="34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ht="12.75">
      <c r="A111" s="17"/>
      <c r="B111" s="34"/>
      <c r="C111" s="17"/>
      <c r="D111" s="17"/>
      <c r="E111" s="17"/>
      <c r="F111" s="34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ht="12.75">
      <c r="A112" s="17"/>
      <c r="B112" s="34"/>
      <c r="C112" s="17"/>
      <c r="D112" s="17"/>
      <c r="E112" s="17"/>
      <c r="F112" s="34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ht="12.75">
      <c r="A113" s="17"/>
      <c r="B113" s="34"/>
      <c r="C113" s="17"/>
      <c r="D113" s="17"/>
      <c r="E113" s="17"/>
      <c r="F113" s="34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ht="12.75">
      <c r="A114" s="17"/>
      <c r="B114" s="34"/>
      <c r="C114" s="17"/>
      <c r="D114" s="17"/>
      <c r="E114" s="17"/>
      <c r="F114" s="34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ht="12.75">
      <c r="A115" s="17"/>
      <c r="B115" s="34"/>
      <c r="C115" s="17"/>
      <c r="D115" s="17"/>
      <c r="E115" s="17"/>
      <c r="F115" s="34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ht="12.75">
      <c r="A116" s="17"/>
      <c r="B116" s="34"/>
      <c r="C116" s="17"/>
      <c r="D116" s="17"/>
      <c r="E116" s="17"/>
      <c r="F116" s="34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ht="12.75">
      <c r="A117" s="17"/>
      <c r="B117" s="34"/>
      <c r="C117" s="17"/>
      <c r="D117" s="17"/>
      <c r="E117" s="17"/>
      <c r="F117" s="34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ht="12.75">
      <c r="A118" s="17"/>
      <c r="B118" s="34"/>
      <c r="C118" s="17"/>
      <c r="D118" s="17"/>
      <c r="E118" s="17"/>
      <c r="F118" s="34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ht="12.75">
      <c r="A119" s="17"/>
      <c r="B119" s="34"/>
      <c r="C119" s="17"/>
      <c r="D119" s="17"/>
      <c r="E119" s="17"/>
      <c r="F119" s="34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ht="12.75">
      <c r="A120" s="17"/>
      <c r="B120" s="34"/>
      <c r="C120" s="17"/>
      <c r="D120" s="17"/>
      <c r="E120" s="17"/>
      <c r="F120" s="34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ht="12.75">
      <c r="A121" s="17"/>
      <c r="B121" s="34"/>
      <c r="C121" s="17"/>
      <c r="D121" s="17"/>
      <c r="E121" s="17"/>
      <c r="F121" s="34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</sheetData>
  <sheetProtection password="8AD1" sheet="1" objects="1" scenarios="1"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0"/>
  <sheetViews>
    <sheetView workbookViewId="0" topLeftCell="A1">
      <selection activeCell="A2" sqref="A2"/>
    </sheetView>
  </sheetViews>
  <sheetFormatPr defaultColWidth="9.140625" defaultRowHeight="12.75"/>
  <cols>
    <col min="1" max="1" width="23.57421875" style="7" customWidth="1"/>
    <col min="2" max="2" width="37.421875" style="7" customWidth="1"/>
    <col min="3" max="3" width="11.00390625" style="7" hidden="1" customWidth="1"/>
    <col min="4" max="4" width="20.7109375" style="7" bestFit="1" customWidth="1"/>
    <col min="5" max="5" width="14.00390625" style="7" bestFit="1" customWidth="1"/>
    <col min="6" max="16384" width="9.140625" style="7" customWidth="1"/>
  </cols>
  <sheetData>
    <row r="1" spans="1:26" ht="12.75">
      <c r="A1" s="69" t="s">
        <v>74</v>
      </c>
      <c r="B1" s="2"/>
      <c r="C1" s="70"/>
      <c r="D1" s="71"/>
      <c r="E1" s="34"/>
      <c r="F1" s="34"/>
      <c r="G1" s="34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2.75">
      <c r="A2" s="8" t="s">
        <v>336</v>
      </c>
      <c r="B2" s="9"/>
      <c r="C2" s="64"/>
      <c r="D2" s="72"/>
      <c r="E2" s="34"/>
      <c r="F2" s="34"/>
      <c r="G2" s="34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2.75">
      <c r="A3" s="73" t="s">
        <v>75</v>
      </c>
      <c r="B3" s="74">
        <v>0</v>
      </c>
      <c r="C3" s="13" t="s">
        <v>2</v>
      </c>
      <c r="D3" s="13" t="s">
        <v>2</v>
      </c>
      <c r="E3" s="34"/>
      <c r="F3" s="66"/>
      <c r="G3" s="34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2.75">
      <c r="A4" s="73" t="s">
        <v>76</v>
      </c>
      <c r="B4" s="75">
        <v>0</v>
      </c>
      <c r="C4" s="19" t="s">
        <v>2</v>
      </c>
      <c r="D4" s="19" t="s">
        <v>2</v>
      </c>
      <c r="E4" s="34"/>
      <c r="F4" s="66"/>
      <c r="G4" s="34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>
      <c r="A5" s="76" t="s">
        <v>77</v>
      </c>
      <c r="B5" s="75">
        <v>0</v>
      </c>
      <c r="C5" s="19" t="s">
        <v>2</v>
      </c>
      <c r="D5" s="19" t="s"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2.75">
      <c r="A6" s="77" t="s">
        <v>78</v>
      </c>
      <c r="B6" s="78">
        <v>0</v>
      </c>
      <c r="C6" s="23" t="s">
        <v>79</v>
      </c>
      <c r="D6" s="23" t="s">
        <v>79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2.75">
      <c r="A7" s="77" t="s">
        <v>80</v>
      </c>
      <c r="B7" s="78">
        <v>0</v>
      </c>
      <c r="C7" s="23" t="s">
        <v>79</v>
      </c>
      <c r="D7" s="23" t="s">
        <v>79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2.75">
      <c r="A8" s="79" t="s">
        <v>81</v>
      </c>
      <c r="B8" s="78">
        <v>0</v>
      </c>
      <c r="C8" s="23" t="s">
        <v>79</v>
      </c>
      <c r="D8" s="23" t="s">
        <v>79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41.25" customHeight="1">
      <c r="A9" s="80" t="s">
        <v>82</v>
      </c>
      <c r="B9" s="81" t="str">
        <f>IF(F19=3,B83,"immetti i dati correttamente")</f>
        <v>immetti i dati correttamente</v>
      </c>
      <c r="C9" s="82" t="s">
        <v>10</v>
      </c>
      <c r="D9" s="26" t="s">
        <v>10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2.75">
      <c r="A10" s="83" t="s">
        <v>83</v>
      </c>
      <c r="B10" s="84" t="str">
        <f>IF(G76=3,IF(B85&gt;0,B85,"&lt; 0 "),"-----")</f>
        <v>-----</v>
      </c>
      <c r="C10" s="82" t="s">
        <v>10</v>
      </c>
      <c r="D10" s="26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.75">
      <c r="A11" s="83" t="s">
        <v>84</v>
      </c>
      <c r="B11" s="84">
        <f>IF(B86&gt;0,IF(B4&gt;0,B86,0),0)</f>
        <v>0</v>
      </c>
      <c r="C11" s="82" t="s">
        <v>10</v>
      </c>
      <c r="D11" s="26" t="s">
        <v>10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2.75">
      <c r="A12" s="85" t="s">
        <v>85</v>
      </c>
      <c r="B12" s="84">
        <f>IF(B87&gt;0,IF(B11&gt;0,B87,0),0)</f>
        <v>0</v>
      </c>
      <c r="C12" s="82" t="s">
        <v>10</v>
      </c>
      <c r="D12" s="26" t="s">
        <v>10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4" s="17" customFormat="1" ht="12.75">
      <c r="A13" s="86"/>
      <c r="C13" s="87" t="s">
        <v>16</v>
      </c>
      <c r="D13" s="30" t="s">
        <v>16</v>
      </c>
    </row>
    <row r="14" spans="1:2" s="17" customFormat="1" ht="12.75" hidden="1">
      <c r="A14" s="86"/>
      <c r="B14" s="50"/>
    </row>
    <row r="15" spans="1:26" ht="12.75" hidden="1">
      <c r="A15" s="7" t="s">
        <v>86</v>
      </c>
      <c r="B15" s="88">
        <f>IF(B20=TRUE,100,0)</f>
        <v>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2.75" hidden="1">
      <c r="A16" s="7" t="s">
        <v>87</v>
      </c>
      <c r="B16" s="88">
        <f>IF(B5&gt;45,300,0)</f>
        <v>0</v>
      </c>
      <c r="D16" s="17"/>
      <c r="E16" s="17" t="s">
        <v>75</v>
      </c>
      <c r="F16" s="17">
        <f>IF(B3&gt;0,1,0)</f>
        <v>0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2.75" hidden="1">
      <c r="A17" s="7" t="s">
        <v>88</v>
      </c>
      <c r="B17" s="88" t="b">
        <f>IF(B19=TRUE,200)</f>
        <v>0</v>
      </c>
      <c r="D17" s="17"/>
      <c r="E17" s="17" t="s">
        <v>76</v>
      </c>
      <c r="F17" s="17">
        <f>IF(B4&gt;0,1,0)</f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.75" hidden="1">
      <c r="A18" s="7" t="s">
        <v>89</v>
      </c>
      <c r="B18" s="89">
        <f>SUM(B15:B17)</f>
        <v>0</v>
      </c>
      <c r="D18" s="17"/>
      <c r="E18" s="17" t="s">
        <v>77</v>
      </c>
      <c r="F18" s="17">
        <f>IF(B5&gt;0,1,0)</f>
        <v>0</v>
      </c>
      <c r="G18" s="17"/>
      <c r="H18" s="17"/>
      <c r="I18" s="17"/>
      <c r="J18" s="9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2.75" hidden="1">
      <c r="A19" s="7" t="s">
        <v>90</v>
      </c>
      <c r="B19" s="88" t="b">
        <f>AND(B5&gt;=35,B5&lt;=45)</f>
        <v>0</v>
      </c>
      <c r="D19" s="17"/>
      <c r="E19" s="17"/>
      <c r="F19" s="17">
        <f>SUM(F16:F18)</f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2.75" hidden="1">
      <c r="A20" s="7" t="s">
        <v>91</v>
      </c>
      <c r="B20" s="88" t="b">
        <f>AND(B5&lt;35,B5&gt;=5)</f>
        <v>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4:26" ht="12.75" hidden="1"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2.75" hidden="1">
      <c r="A22" s="7" t="s">
        <v>92</v>
      </c>
      <c r="B22" s="88">
        <f>IF(B27=TRUE,1,0)</f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 hidden="1">
      <c r="A23" s="7" t="s">
        <v>93</v>
      </c>
      <c r="B23" s="88">
        <f>IF(B28=TRUE,3,0)</f>
        <v>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2.75" hidden="1">
      <c r="A24" s="7" t="s">
        <v>94</v>
      </c>
      <c r="B24" s="88" t="b">
        <f>IF(B26=TRUE,2)</f>
        <v>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hidden="1">
      <c r="A25" s="7" t="s">
        <v>95</v>
      </c>
      <c r="B25" s="89">
        <f>SUM(B22:B24)</f>
        <v>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hidden="1">
      <c r="A26" s="7" t="s">
        <v>96</v>
      </c>
      <c r="B26" s="88" t="b">
        <f>AND(B4&gt;=21,B4&lt;=28)</f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2.75" hidden="1">
      <c r="A27" s="7" t="s">
        <v>97</v>
      </c>
      <c r="B27" s="88" t="b">
        <f>AND(B4&lt;21,B4&gt;=1)</f>
        <v>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2.75" hidden="1">
      <c r="A28" s="7" t="s">
        <v>98</v>
      </c>
      <c r="B28" s="88" t="b">
        <f>AND(B4&gt;28,B4&lt;50)</f>
        <v>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4:26" ht="12.75" hidden="1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hidden="1">
      <c r="A30" s="7" t="s">
        <v>99</v>
      </c>
      <c r="B30" s="88">
        <f>IF(B37=TRUE,1000,0)</f>
        <v>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 hidden="1">
      <c r="A31" s="7" t="s">
        <v>100</v>
      </c>
      <c r="B31" s="88">
        <f>IF(B38=TRUE,4000,0)</f>
        <v>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2.75" hidden="1">
      <c r="A32" s="7" t="s">
        <v>101</v>
      </c>
      <c r="B32" s="88" t="b">
        <f>IF(B35=TRUE,2000)</f>
        <v>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 hidden="1">
      <c r="A33" s="7" t="s">
        <v>102</v>
      </c>
      <c r="B33" s="88" t="b">
        <f>IF(B36=TRUE,3000)</f>
        <v>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 hidden="1">
      <c r="A34" s="7" t="s">
        <v>103</v>
      </c>
      <c r="B34" s="89">
        <f>SUM(B30:B33)</f>
        <v>0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hidden="1">
      <c r="A35" s="7" t="s">
        <v>104</v>
      </c>
      <c r="B35" s="88" t="b">
        <f>AND(B3&gt;=7.38,B3&lt;=7.4)</f>
        <v>0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 hidden="1">
      <c r="A36" s="7" t="s">
        <v>105</v>
      </c>
      <c r="B36" s="88" t="b">
        <f>AND(B3&gt;7.4,B3&lt;=7.44)</f>
        <v>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 hidden="1">
      <c r="A37" s="7" t="s">
        <v>106</v>
      </c>
      <c r="B37" s="88" t="b">
        <f>AND(B3&lt;7.38,B3&gt;=6.5)</f>
        <v>0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 hidden="1">
      <c r="A38" s="7" t="s">
        <v>107</v>
      </c>
      <c r="B38" s="88" t="b">
        <f>AND(B3&gt;7.44,B3&lt;8.5)</f>
        <v>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4:26" ht="12.75" hidden="1"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4:26" ht="12.75" hidden="1"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 hidden="1">
      <c r="A41" s="7" t="s">
        <v>108</v>
      </c>
      <c r="B41" s="89">
        <f>B34+B25+B18</f>
        <v>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2:26" ht="12.75" hidden="1">
      <c r="B42" s="91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hidden="1">
      <c r="A43" s="7" t="s">
        <v>109</v>
      </c>
      <c r="B43" s="88">
        <f>IF(B41=1201,A43,"")</f>
      </c>
      <c r="C43" s="88">
        <v>1201</v>
      </c>
      <c r="D43" s="34"/>
      <c r="E43" s="34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hidden="1">
      <c r="A44" s="7" t="s">
        <v>110</v>
      </c>
      <c r="B44" s="88">
        <f>IF(B41=1302,A44,"")</f>
      </c>
      <c r="C44" s="88">
        <v>1302</v>
      </c>
      <c r="D44" s="34"/>
      <c r="E44" s="34" t="s">
        <v>111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2.75" hidden="1">
      <c r="A45" s="7" t="s">
        <v>112</v>
      </c>
      <c r="B45" s="88">
        <f>IF(B41=1301,A45,"")</f>
      </c>
      <c r="C45" s="88">
        <v>1301</v>
      </c>
      <c r="D45" s="34"/>
      <c r="E45" s="34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2.75" hidden="1">
      <c r="A46" s="7" t="s">
        <v>113</v>
      </c>
      <c r="B46" s="88">
        <f>IF(B41=4203,A46,"")</f>
      </c>
      <c r="C46" s="88">
        <v>4203</v>
      </c>
      <c r="D46" s="34"/>
      <c r="E46" s="34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2.75" hidden="1">
      <c r="A47" s="7" t="s">
        <v>114</v>
      </c>
      <c r="B47" s="88">
        <f>IF(B41=4102,A47,"")</f>
      </c>
      <c r="C47" s="88">
        <v>4102</v>
      </c>
      <c r="D47" s="34"/>
      <c r="E47" s="34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 hidden="1">
      <c r="A48" s="7" t="s">
        <v>115</v>
      </c>
      <c r="B48" s="88">
        <f>IF(B41=4103,A48,"")</f>
      </c>
      <c r="C48" s="88">
        <v>4103</v>
      </c>
      <c r="D48" s="34"/>
      <c r="E48" s="34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hidden="1">
      <c r="A49" s="7" t="s">
        <v>116</v>
      </c>
      <c r="B49" s="88">
        <f>IF(B41=2101,A49,"")</f>
      </c>
      <c r="C49" s="88">
        <v>2101</v>
      </c>
      <c r="D49" s="34"/>
      <c r="E49" s="34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 hidden="1">
      <c r="A50" s="7" t="s">
        <v>117</v>
      </c>
      <c r="B50" s="88">
        <f>IF(B41=3101,A50,"")</f>
      </c>
      <c r="C50" s="88">
        <v>3101</v>
      </c>
      <c r="D50" s="34"/>
      <c r="E50" s="34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2.75" hidden="1">
      <c r="A51" s="7" t="s">
        <v>118</v>
      </c>
      <c r="B51" s="88">
        <f>IF(B41=2303,A51,"")</f>
      </c>
      <c r="C51" s="88">
        <v>2303</v>
      </c>
      <c r="D51" s="34"/>
      <c r="E51" s="3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2.75" hidden="1">
      <c r="A52" s="7" t="s">
        <v>119</v>
      </c>
      <c r="B52" s="88">
        <f>IF(B41=3303,A52,"")</f>
      </c>
      <c r="C52" s="88">
        <v>3303</v>
      </c>
      <c r="D52" s="34"/>
      <c r="E52" s="3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2.75" hidden="1">
      <c r="A53" s="7" t="s">
        <v>120</v>
      </c>
      <c r="B53" s="88">
        <f>IF(B41=2202,A53,"")</f>
      </c>
      <c r="C53" s="88">
        <v>2202</v>
      </c>
      <c r="D53" s="34"/>
      <c r="E53" s="3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2.75" hidden="1">
      <c r="A54" s="7" t="s">
        <v>120</v>
      </c>
      <c r="B54" s="88">
        <f>IF(B41=3202,A54,"")</f>
      </c>
      <c r="C54" s="88">
        <v>3202</v>
      </c>
      <c r="D54" s="34"/>
      <c r="E54" s="34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2.75" hidden="1">
      <c r="A55" s="7" t="s">
        <v>121</v>
      </c>
      <c r="B55" s="88">
        <f>IF(B41=1101,A55,"")</f>
      </c>
      <c r="C55" s="88">
        <v>1101</v>
      </c>
      <c r="D55" s="34"/>
      <c r="E55" s="34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2.75" hidden="1">
      <c r="A56" s="7" t="s">
        <v>122</v>
      </c>
      <c r="B56" s="88">
        <f>IF(B41=1102,A56,"")</f>
      </c>
      <c r="C56" s="88">
        <v>1102</v>
      </c>
      <c r="D56" s="34"/>
      <c r="E56" s="34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2.75" hidden="1">
      <c r="A57" s="7" t="s">
        <v>122</v>
      </c>
      <c r="B57" s="88">
        <f>IF(B41=1103,A57,"")</f>
      </c>
      <c r="C57" s="88">
        <v>1103</v>
      </c>
      <c r="D57" s="34"/>
      <c r="E57" s="34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2.75" hidden="1">
      <c r="A58" s="7" t="s">
        <v>122</v>
      </c>
      <c r="B58" s="88">
        <f>IF(B41=1202,A58,"")</f>
      </c>
      <c r="C58" s="88">
        <v>1202</v>
      </c>
      <c r="D58" s="34"/>
      <c r="E58" s="34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hidden="1">
      <c r="A59" s="7" t="s">
        <v>122</v>
      </c>
      <c r="B59" s="88">
        <f>IF(B41=1203,A59,"")</f>
      </c>
      <c r="C59" s="88">
        <v>1203</v>
      </c>
      <c r="D59" s="34"/>
      <c r="E59" s="3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2.75" hidden="1">
      <c r="A60" s="7" t="s">
        <v>123</v>
      </c>
      <c r="B60" s="88">
        <f>IF(B41=1303,A60,"")</f>
      </c>
      <c r="C60" s="88">
        <v>1303</v>
      </c>
      <c r="D60" s="34"/>
      <c r="E60" s="34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2.75" hidden="1">
      <c r="A61" s="7" t="s">
        <v>124</v>
      </c>
      <c r="B61" s="88">
        <f>IF(B41=4101,A61,"")</f>
      </c>
      <c r="C61" s="88">
        <v>4101</v>
      </c>
      <c r="D61" s="34"/>
      <c r="E61" s="34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2.75" hidden="1">
      <c r="A62" s="7" t="s">
        <v>125</v>
      </c>
      <c r="B62" s="88">
        <f>IF(B41=4201,A62,"")</f>
      </c>
      <c r="C62" s="88">
        <v>4201</v>
      </c>
      <c r="D62" s="34"/>
      <c r="E62" s="34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2.75" hidden="1">
      <c r="A63" s="7" t="s">
        <v>125</v>
      </c>
      <c r="B63" s="88">
        <f>IF(B41=4202,A63,"")</f>
      </c>
      <c r="C63" s="88">
        <v>4202</v>
      </c>
      <c r="D63" s="34"/>
      <c r="E63" s="34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 hidden="1">
      <c r="A64" s="7" t="s">
        <v>125</v>
      </c>
      <c r="B64" s="88">
        <f>IF(B41=4301,A64,"")</f>
      </c>
      <c r="C64" s="88">
        <v>4301</v>
      </c>
      <c r="D64" s="34"/>
      <c r="E64" s="34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 hidden="1">
      <c r="A65" s="7" t="s">
        <v>125</v>
      </c>
      <c r="B65" s="88">
        <f>IF(B41=4302,A65,"")</f>
      </c>
      <c r="C65" s="88">
        <v>4302</v>
      </c>
      <c r="D65" s="34"/>
      <c r="E65" s="34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2.75" hidden="1">
      <c r="A66" s="7" t="s">
        <v>126</v>
      </c>
      <c r="B66" s="88">
        <f>IF(B41=4303,A66,"")</f>
      </c>
      <c r="C66" s="88">
        <v>4303</v>
      </c>
      <c r="D66" s="34"/>
      <c r="E66" s="34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2.75" hidden="1">
      <c r="A67" s="7" t="s">
        <v>127</v>
      </c>
      <c r="B67" s="88">
        <f>IF(B41=2102,A67,"")</f>
      </c>
      <c r="C67" s="88">
        <v>2102</v>
      </c>
      <c r="D67" s="34"/>
      <c r="E67" s="34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2.75" hidden="1">
      <c r="A68" s="7" t="s">
        <v>128</v>
      </c>
      <c r="B68" s="88">
        <f>IF(B41=2103,A68,"")</f>
      </c>
      <c r="C68" s="88">
        <v>2103</v>
      </c>
      <c r="D68" s="34"/>
      <c r="E68" s="34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hidden="1">
      <c r="A69" s="7" t="s">
        <v>129</v>
      </c>
      <c r="B69" s="88">
        <f>IF(B41=2201,A69,"")</f>
      </c>
      <c r="C69" s="88">
        <v>2201</v>
      </c>
      <c r="D69" s="34"/>
      <c r="E69" s="34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2.75" hidden="1">
      <c r="A70" s="7" t="s">
        <v>129</v>
      </c>
      <c r="B70" s="88">
        <f>IF(B41=2203,A70,"")</f>
      </c>
      <c r="C70" s="88">
        <v>2203</v>
      </c>
      <c r="D70" s="34"/>
      <c r="E70" s="34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2.75" hidden="1">
      <c r="A71" s="7" t="s">
        <v>128</v>
      </c>
      <c r="B71" s="88">
        <f>IF(B41=2301,A71,"")</f>
      </c>
      <c r="C71" s="88">
        <v>2301</v>
      </c>
      <c r="D71" s="34"/>
      <c r="E71" s="34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2.75" hidden="1">
      <c r="A72" s="7" t="s">
        <v>130</v>
      </c>
      <c r="B72" s="88">
        <f>IF(B41=2302,A72,"")</f>
      </c>
      <c r="C72" s="88">
        <v>2302</v>
      </c>
      <c r="D72" s="34"/>
      <c r="E72" s="34"/>
      <c r="F72" s="17" t="s">
        <v>131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2.75" hidden="1">
      <c r="A73" s="7" t="s">
        <v>127</v>
      </c>
      <c r="B73" s="88">
        <f>IF(B41=3102,A73,"")</f>
      </c>
      <c r="C73" s="88">
        <v>3102</v>
      </c>
      <c r="D73" s="34"/>
      <c r="E73" s="34"/>
      <c r="F73" s="17" t="s">
        <v>132</v>
      </c>
      <c r="G73" s="17">
        <f>IF(B4=0,0,1)</f>
        <v>0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2.75" hidden="1">
      <c r="A74" s="7" t="s">
        <v>128</v>
      </c>
      <c r="B74" s="88">
        <f>IF(B41=3103,A74,"")</f>
      </c>
      <c r="C74" s="88">
        <v>3103</v>
      </c>
      <c r="D74" s="34"/>
      <c r="E74" s="34"/>
      <c r="F74" s="17" t="s">
        <v>73</v>
      </c>
      <c r="G74" s="17">
        <f>IF(B6=0,0,1)</f>
        <v>0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2.75" hidden="1">
      <c r="A75" s="7" t="s">
        <v>129</v>
      </c>
      <c r="B75" s="88">
        <f>IF(B41=3201,A75,"")</f>
      </c>
      <c r="C75" s="88">
        <v>3201</v>
      </c>
      <c r="D75" s="34"/>
      <c r="E75" s="34"/>
      <c r="F75" s="17" t="s">
        <v>133</v>
      </c>
      <c r="G75" s="17">
        <f>IF(B7=0,0,1)</f>
        <v>0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2.75" hidden="1">
      <c r="A76" s="7" t="s">
        <v>129</v>
      </c>
      <c r="B76" s="88">
        <f>IF(B41=3203,A76,"")</f>
      </c>
      <c r="C76" s="88">
        <v>3203</v>
      </c>
      <c r="D76" s="34"/>
      <c r="E76" s="34"/>
      <c r="F76" s="17" t="s">
        <v>134</v>
      </c>
      <c r="G76" s="17">
        <f>SUM(G73:G75)</f>
        <v>0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2.75" hidden="1">
      <c r="A77" s="7" t="s">
        <v>128</v>
      </c>
      <c r="B77" s="88">
        <f>IF(B41=3301,A77,"")</f>
      </c>
      <c r="C77" s="88">
        <v>3301</v>
      </c>
      <c r="D77" s="34"/>
      <c r="E77" s="34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2.75" hidden="1">
      <c r="A78" s="7" t="s">
        <v>130</v>
      </c>
      <c r="B78" s="88">
        <f>IF(B41=3302,A78,"")</f>
      </c>
      <c r="C78" s="88">
        <v>3302</v>
      </c>
      <c r="D78" s="34"/>
      <c r="E78" s="34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hidden="1">
      <c r="A79" s="7" t="s">
        <v>135</v>
      </c>
      <c r="B79" s="91">
        <f>CONCATENATE(B43,B44,B45,B46,B47,B48,B49,B50,B51,B52)</f>
      </c>
      <c r="C79" s="88"/>
      <c r="D79" s="34"/>
      <c r="E79" s="34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2.75" hidden="1">
      <c r="A80" s="7" t="s">
        <v>136</v>
      </c>
      <c r="B80" s="88">
        <f>CONCATENATE(B53,B54,B55,B56,B57,B58,B59,B60,B61,B62)</f>
      </c>
      <c r="C80" s="88"/>
      <c r="D80" s="34"/>
      <c r="E80" s="34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2.75" hidden="1">
      <c r="A81" s="7" t="s">
        <v>137</v>
      </c>
      <c r="B81" s="7">
        <f>CONCATENATE(B63,B64,B65,B66,B67,B68,B69,B70,B71)</f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2.75" hidden="1">
      <c r="A82" s="7" t="s">
        <v>138</v>
      </c>
      <c r="B82" s="7">
        <f>CONCATENATE(B72,B73,B74,B75,B76,B77,B78)</f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2.75" hidden="1">
      <c r="A83" s="7" t="s">
        <v>139</v>
      </c>
      <c r="B83" s="89">
        <f>CONCATENATE(B79,B80,B81,B82)</f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4:26" ht="12.75" hidden="1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2.75" hidden="1">
      <c r="A85" s="7" t="s">
        <v>140</v>
      </c>
      <c r="B85" s="88">
        <f>B6-(B4+B7)</f>
        <v>0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2.75" hidden="1">
      <c r="A86" s="7" t="s">
        <v>141</v>
      </c>
      <c r="B86" s="88">
        <f>B8*0.4*(21-B4)</f>
        <v>0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hidden="1">
      <c r="A87" s="7" t="s">
        <v>142</v>
      </c>
      <c r="B87" s="88">
        <f>B86/20</f>
        <v>0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hidden="1">
      <c r="A88" s="92"/>
      <c r="B88" s="92"/>
      <c r="C88" s="8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2.75">
      <c r="A89" s="17"/>
      <c r="B89" s="68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2.75">
      <c r="A90" s="6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2.75">
      <c r="A91" s="6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2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2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2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2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2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</sheetData>
  <sheetProtection password="8AD1" sheet="1" objects="1" scenarios="1"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4"/>
  <sheetViews>
    <sheetView workbookViewId="0" topLeftCell="A1">
      <selection activeCell="A2" sqref="A2"/>
    </sheetView>
  </sheetViews>
  <sheetFormatPr defaultColWidth="9.140625" defaultRowHeight="12.75"/>
  <cols>
    <col min="1" max="1" width="23.00390625" style="7" customWidth="1"/>
    <col min="2" max="2" width="15.57421875" style="88" customWidth="1"/>
    <col min="3" max="3" width="23.57421875" style="7" customWidth="1"/>
    <col min="4" max="4" width="17.421875" style="7" customWidth="1"/>
    <col min="5" max="5" width="15.28125" style="7" bestFit="1" customWidth="1"/>
    <col min="6" max="6" width="13.7109375" style="7" bestFit="1" customWidth="1"/>
    <col min="7" max="7" width="15.421875" style="88" customWidth="1"/>
    <col min="8" max="8" width="16.57421875" style="7" customWidth="1"/>
    <col min="9" max="16384" width="9.140625" style="7" customWidth="1"/>
  </cols>
  <sheetData>
    <row r="1" spans="1:15" ht="12.75">
      <c r="A1" s="1" t="s">
        <v>143</v>
      </c>
      <c r="B1" s="186"/>
      <c r="C1" s="3"/>
      <c r="D1" s="17"/>
      <c r="E1" s="17"/>
      <c r="F1" s="17"/>
      <c r="G1" s="34"/>
      <c r="H1" s="17"/>
      <c r="I1" s="17"/>
      <c r="J1" s="17"/>
      <c r="K1" s="17"/>
      <c r="L1" s="17"/>
      <c r="M1" s="17"/>
      <c r="N1" s="17"/>
      <c r="O1" s="17"/>
    </row>
    <row r="2" spans="1:15" ht="12.75">
      <c r="A2" s="8" t="s">
        <v>336</v>
      </c>
      <c r="B2" s="187"/>
      <c r="C2" s="10"/>
      <c r="D2" s="17"/>
      <c r="E2" s="17"/>
      <c r="F2" s="17"/>
      <c r="G2" s="34"/>
      <c r="H2" s="17"/>
      <c r="I2" s="17"/>
      <c r="J2" s="17"/>
      <c r="K2" s="17"/>
      <c r="L2" s="17"/>
      <c r="M2" s="17"/>
      <c r="N2" s="17"/>
      <c r="O2" s="17"/>
    </row>
    <row r="3" spans="1:15" ht="12.75">
      <c r="A3" s="93" t="s">
        <v>144</v>
      </c>
      <c r="B3" s="188">
        <v>0</v>
      </c>
      <c r="C3" s="19" t="s">
        <v>2</v>
      </c>
      <c r="D3" s="17"/>
      <c r="E3" s="17"/>
      <c r="F3" s="17"/>
      <c r="G3" s="34"/>
      <c r="H3" s="17"/>
      <c r="I3" s="17"/>
      <c r="J3" s="17"/>
      <c r="K3" s="17"/>
      <c r="L3" s="17"/>
      <c r="M3" s="17"/>
      <c r="N3" s="17"/>
      <c r="O3" s="17"/>
    </row>
    <row r="4" spans="1:15" ht="12.75">
      <c r="A4" s="94" t="s">
        <v>145</v>
      </c>
      <c r="B4" s="188" t="s">
        <v>263</v>
      </c>
      <c r="C4" s="19" t="s">
        <v>2</v>
      </c>
      <c r="D4" s="95" t="str">
        <f>IF(B35=0,C85," ")</f>
        <v> </v>
      </c>
      <c r="E4" s="17"/>
      <c r="F4" s="17"/>
      <c r="G4" s="34"/>
      <c r="H4" s="17"/>
      <c r="I4" s="17"/>
      <c r="J4" s="17"/>
      <c r="K4" s="17"/>
      <c r="L4" s="17"/>
      <c r="M4" s="17"/>
      <c r="N4" s="17"/>
      <c r="O4" s="17"/>
    </row>
    <row r="5" spans="1:15" ht="12.75">
      <c r="A5" s="96" t="s">
        <v>146</v>
      </c>
      <c r="B5" s="189">
        <v>0</v>
      </c>
      <c r="C5" s="23" t="s">
        <v>79</v>
      </c>
      <c r="D5" s="95"/>
      <c r="E5" s="17"/>
      <c r="F5" s="17"/>
      <c r="G5" s="34"/>
      <c r="H5" s="17"/>
      <c r="I5" s="17"/>
      <c r="J5" s="17"/>
      <c r="K5" s="17"/>
      <c r="L5" s="17"/>
      <c r="M5" s="17"/>
      <c r="N5" s="17"/>
      <c r="O5" s="17"/>
    </row>
    <row r="6" spans="1:15" ht="12.75">
      <c r="A6" s="97" t="s">
        <v>147</v>
      </c>
      <c r="B6" s="189">
        <v>0</v>
      </c>
      <c r="C6" s="23" t="s">
        <v>79</v>
      </c>
      <c r="D6" s="95" t="str">
        <f>IF(B86=1,C86," ")</f>
        <v> </v>
      </c>
      <c r="E6" s="17"/>
      <c r="F6" s="17"/>
      <c r="G6" s="34"/>
      <c r="H6" s="17"/>
      <c r="I6" s="17"/>
      <c r="J6" s="17"/>
      <c r="K6" s="17"/>
      <c r="L6" s="17"/>
      <c r="M6" s="17"/>
      <c r="N6" s="17"/>
      <c r="O6" s="17"/>
    </row>
    <row r="7" spans="1:15" ht="12.75">
      <c r="A7" s="98" t="s">
        <v>148</v>
      </c>
      <c r="B7" s="189">
        <v>0</v>
      </c>
      <c r="C7" s="23" t="s">
        <v>79</v>
      </c>
      <c r="D7" s="34"/>
      <c r="E7" s="17"/>
      <c r="F7" s="17"/>
      <c r="G7" s="34"/>
      <c r="H7" s="17"/>
      <c r="I7" s="17"/>
      <c r="J7" s="17"/>
      <c r="K7" s="17"/>
      <c r="L7" s="17"/>
      <c r="M7" s="17"/>
      <c r="N7" s="17"/>
      <c r="O7" s="17"/>
    </row>
    <row r="8" spans="1:15" ht="12.75">
      <c r="A8" s="93" t="s">
        <v>149</v>
      </c>
      <c r="B8" s="188">
        <v>0</v>
      </c>
      <c r="C8" s="19" t="s">
        <v>2</v>
      </c>
      <c r="D8" s="34"/>
      <c r="E8" s="17"/>
      <c r="F8" s="17"/>
      <c r="G8" s="34"/>
      <c r="H8" s="17"/>
      <c r="I8" s="17"/>
      <c r="J8" s="17"/>
      <c r="K8" s="17"/>
      <c r="L8" s="17"/>
      <c r="M8" s="17"/>
      <c r="N8" s="17"/>
      <c r="O8" s="17"/>
    </row>
    <row r="9" spans="1:15" ht="12.75">
      <c r="A9" s="94" t="s">
        <v>150</v>
      </c>
      <c r="B9" s="188" t="s">
        <v>263</v>
      </c>
      <c r="C9" s="19" t="s">
        <v>2</v>
      </c>
      <c r="D9" s="95" t="str">
        <f>IF(B59=0,C85," ")</f>
        <v> </v>
      </c>
      <c r="E9" s="17"/>
      <c r="F9" s="17"/>
      <c r="G9" s="34"/>
      <c r="H9" s="17"/>
      <c r="I9" s="17"/>
      <c r="J9" s="17"/>
      <c r="K9" s="17"/>
      <c r="L9" s="17"/>
      <c r="M9" s="17"/>
      <c r="N9" s="17"/>
      <c r="O9" s="17"/>
    </row>
    <row r="10" spans="1:15" ht="12.75">
      <c r="A10" s="99" t="s">
        <v>151</v>
      </c>
      <c r="B10" s="188">
        <v>0</v>
      </c>
      <c r="C10" s="19" t="s">
        <v>2</v>
      </c>
      <c r="D10" s="34"/>
      <c r="E10" s="17"/>
      <c r="F10" s="17"/>
      <c r="G10" s="34"/>
      <c r="H10" s="17"/>
      <c r="I10" s="17"/>
      <c r="J10" s="17"/>
      <c r="K10" s="17"/>
      <c r="L10" s="17"/>
      <c r="M10" s="17"/>
      <c r="N10" s="17"/>
      <c r="O10" s="17"/>
    </row>
    <row r="11" spans="1:15" ht="12.75">
      <c r="A11" s="96" t="s">
        <v>152</v>
      </c>
      <c r="B11" s="189">
        <v>0</v>
      </c>
      <c r="C11" s="23" t="s">
        <v>79</v>
      </c>
      <c r="D11" s="95" t="str">
        <f>IF(B87=1,C87," ")</f>
        <v> </v>
      </c>
      <c r="E11" s="17"/>
      <c r="F11" s="17"/>
      <c r="G11" s="34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98" t="s">
        <v>153</v>
      </c>
      <c r="B12" s="189">
        <v>0</v>
      </c>
      <c r="C12" s="23" t="s">
        <v>79</v>
      </c>
      <c r="D12" s="95" t="str">
        <f>IF(B88=1,C88," ")</f>
        <v> </v>
      </c>
      <c r="E12" s="17"/>
      <c r="F12" s="17"/>
      <c r="G12" s="34"/>
      <c r="H12" s="17"/>
      <c r="I12" s="17"/>
      <c r="J12" s="17"/>
      <c r="K12" s="17"/>
      <c r="L12" s="17"/>
      <c r="M12" s="17"/>
      <c r="N12" s="17"/>
      <c r="O12" s="17"/>
    </row>
    <row r="13" spans="1:15" ht="12.75">
      <c r="A13" s="94" t="s">
        <v>154</v>
      </c>
      <c r="B13" s="188">
        <v>0</v>
      </c>
      <c r="C13" s="19" t="s">
        <v>2</v>
      </c>
      <c r="D13" s="17"/>
      <c r="E13" s="17"/>
      <c r="F13" s="17"/>
      <c r="G13" s="34"/>
      <c r="H13" s="17"/>
      <c r="I13" s="17"/>
      <c r="J13" s="17"/>
      <c r="K13" s="17"/>
      <c r="L13" s="17"/>
      <c r="M13" s="17"/>
      <c r="N13" s="17"/>
      <c r="O13" s="17"/>
    </row>
    <row r="14" spans="1:15" ht="12.75">
      <c r="A14" s="99" t="s">
        <v>155</v>
      </c>
      <c r="B14" s="188">
        <v>0</v>
      </c>
      <c r="C14" s="19" t="s">
        <v>2</v>
      </c>
      <c r="D14" s="17"/>
      <c r="E14" s="17"/>
      <c r="F14" s="17"/>
      <c r="G14" s="34"/>
      <c r="H14" s="17"/>
      <c r="I14" s="17"/>
      <c r="J14" s="17"/>
      <c r="K14" s="17"/>
      <c r="L14" s="17"/>
      <c r="M14" s="17"/>
      <c r="N14" s="17"/>
      <c r="O14" s="17"/>
    </row>
    <row r="15" spans="1:15" ht="12.75">
      <c r="A15" s="100" t="s">
        <v>156</v>
      </c>
      <c r="B15" s="154" t="str">
        <f>IF(B82=7,IF(B89="corretto",B66,B89),"-----")</f>
        <v>-----</v>
      </c>
      <c r="C15" s="26" t="s">
        <v>10</v>
      </c>
      <c r="D15" s="34"/>
      <c r="E15" s="17"/>
      <c r="F15" s="17"/>
      <c r="G15" s="34"/>
      <c r="H15" s="17"/>
      <c r="I15" s="17"/>
      <c r="J15" s="17"/>
      <c r="K15" s="17"/>
      <c r="L15" s="17"/>
      <c r="M15" s="17"/>
      <c r="N15" s="17"/>
      <c r="O15" s="17"/>
    </row>
    <row r="16" spans="1:15" ht="12.75">
      <c r="A16" s="100" t="str">
        <f>B9&amp;" confezione"</f>
        <v>mg confezione</v>
      </c>
      <c r="B16" s="154" t="str">
        <f>IF(B82=7,IF(B89="corretto",B67,B89),"-----")</f>
        <v>-----</v>
      </c>
      <c r="C16" s="26" t="s">
        <v>10</v>
      </c>
      <c r="D16" s="34"/>
      <c r="E16" s="17"/>
      <c r="F16" s="17"/>
      <c r="G16" s="34"/>
      <c r="H16" s="17"/>
      <c r="I16" s="17"/>
      <c r="J16" s="17"/>
      <c r="K16" s="17"/>
      <c r="L16" s="17"/>
      <c r="M16" s="17"/>
      <c r="N16" s="17"/>
      <c r="O16" s="17"/>
    </row>
    <row r="17" spans="1:15" ht="12.75">
      <c r="A17" s="100" t="s">
        <v>157</v>
      </c>
      <c r="B17" s="154" t="str">
        <f>IF(B82=7,IF(B89="corretto",B68,B89),"-----")</f>
        <v>-----</v>
      </c>
      <c r="C17" s="26" t="s">
        <v>10</v>
      </c>
      <c r="D17" s="34"/>
      <c r="E17" s="17"/>
      <c r="F17" s="17"/>
      <c r="G17" s="34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100" t="s">
        <v>158</v>
      </c>
      <c r="B18" s="154" t="str">
        <f>IF(C82=2,B69,"-----")</f>
        <v>-----</v>
      </c>
      <c r="C18" s="26" t="s">
        <v>10</v>
      </c>
      <c r="D18" s="34"/>
      <c r="E18" s="17"/>
      <c r="F18" s="17"/>
      <c r="G18" s="34"/>
      <c r="H18" s="17"/>
      <c r="I18" s="17"/>
      <c r="J18" s="17"/>
      <c r="K18" s="17"/>
      <c r="L18" s="17"/>
      <c r="M18" s="17"/>
      <c r="N18" s="17"/>
      <c r="O18" s="17"/>
    </row>
    <row r="19" spans="1:15" ht="12.75">
      <c r="A19" s="100" t="s">
        <v>159</v>
      </c>
      <c r="B19" s="154" t="str">
        <f>IF(C82=2,B70,"-----")</f>
        <v>-----</v>
      </c>
      <c r="C19" s="26" t="s">
        <v>10</v>
      </c>
      <c r="D19" s="34"/>
      <c r="E19" s="17"/>
      <c r="F19" s="17"/>
      <c r="G19" s="34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100" t="s">
        <v>160</v>
      </c>
      <c r="B20" s="154" t="str">
        <f>IF(C82=2,B71,"-----")</f>
        <v>-----</v>
      </c>
      <c r="C20" s="26" t="s">
        <v>10</v>
      </c>
      <c r="D20" s="34"/>
      <c r="E20" s="17"/>
      <c r="F20" s="17"/>
      <c r="G20" s="34"/>
      <c r="H20" s="17"/>
      <c r="I20" s="17"/>
      <c r="J20" s="17"/>
      <c r="K20" s="17"/>
      <c r="L20" s="17"/>
      <c r="M20" s="17"/>
      <c r="N20" s="17"/>
      <c r="O20" s="17"/>
    </row>
    <row r="21" spans="1:15" s="88" customFormat="1" ht="12.75" hidden="1">
      <c r="A21" s="34"/>
      <c r="B21" s="34"/>
      <c r="C21" s="68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2" s="88" customFormat="1" ht="12.75" hidden="1">
      <c r="A22" s="101" t="s">
        <v>161</v>
      </c>
      <c r="B22" s="88">
        <f>B13*60</f>
        <v>0</v>
      </c>
    </row>
    <row r="23" spans="1:8" s="88" customFormat="1" ht="12.75" hidden="1">
      <c r="A23" s="102"/>
      <c r="E23" s="91"/>
      <c r="F23" s="91"/>
      <c r="G23" s="91"/>
      <c r="H23" s="103"/>
    </row>
    <row r="24" spans="1:8" s="88" customFormat="1" ht="12.75" hidden="1">
      <c r="A24" s="104" t="s">
        <v>162</v>
      </c>
      <c r="B24" s="105">
        <f>IF(B5&gt;0,IF(B6&gt;0,0,(B11/B5)),IF(B6&lt;=0,0,(B12/B6)))</f>
        <v>0</v>
      </c>
      <c r="E24" s="106"/>
      <c r="F24" s="106"/>
      <c r="G24" s="106"/>
      <c r="H24" s="106"/>
    </row>
    <row r="25" spans="1:2" s="88" customFormat="1" ht="12.75" hidden="1">
      <c r="A25" s="107" t="s">
        <v>163</v>
      </c>
      <c r="B25" s="108">
        <f>IF(B22*B7&gt;0,B22/B7,0)</f>
        <v>0</v>
      </c>
    </row>
    <row r="26" spans="4:5" s="88" customFormat="1" ht="12.75" hidden="1">
      <c r="D26" s="36"/>
      <c r="E26" s="36"/>
    </row>
    <row r="27" spans="1:4" s="88" customFormat="1" ht="12.75" hidden="1">
      <c r="A27" s="109" t="s">
        <v>164</v>
      </c>
      <c r="B27" s="110" t="s">
        <v>165</v>
      </c>
      <c r="C27" s="110"/>
      <c r="D27" s="105"/>
    </row>
    <row r="28" spans="1:4" s="88" customFormat="1" ht="12.75" hidden="1">
      <c r="A28" s="111" t="s">
        <v>166</v>
      </c>
      <c r="B28" s="36">
        <f>IF(B4="g",1000,0)</f>
        <v>0</v>
      </c>
      <c r="C28" s="36"/>
      <c r="D28" s="112"/>
    </row>
    <row r="29" spans="1:4" s="88" customFormat="1" ht="12.75" hidden="1">
      <c r="A29" s="111" t="s">
        <v>167</v>
      </c>
      <c r="B29" s="36">
        <f>IF(B4="dg",100,0)</f>
        <v>0</v>
      </c>
      <c r="C29" s="36"/>
      <c r="D29" s="112"/>
    </row>
    <row r="30" spans="1:4" s="88" customFormat="1" ht="12.75" hidden="1">
      <c r="A30" s="111" t="s">
        <v>168</v>
      </c>
      <c r="B30" s="36">
        <f>IF(B4="cg",10,0)</f>
        <v>0</v>
      </c>
      <c r="C30" s="36"/>
      <c r="D30" s="112"/>
    </row>
    <row r="31" spans="1:4" s="88" customFormat="1" ht="12.75" hidden="1">
      <c r="A31" s="111" t="s">
        <v>169</v>
      </c>
      <c r="B31" s="36">
        <f>IF(B4="mg",1,0)</f>
        <v>1</v>
      </c>
      <c r="C31" s="36"/>
      <c r="D31" s="112"/>
    </row>
    <row r="32" spans="1:4" s="88" customFormat="1" ht="12.75" hidden="1">
      <c r="A32" s="111" t="s">
        <v>170</v>
      </c>
      <c r="B32" s="36">
        <f>IF(B4="mcg",1/1000,0)</f>
        <v>0</v>
      </c>
      <c r="C32" s="36"/>
      <c r="D32" s="112"/>
    </row>
    <row r="33" spans="1:4" s="88" customFormat="1" ht="12.75" hidden="1">
      <c r="A33" s="111" t="s">
        <v>171</v>
      </c>
      <c r="B33" s="36">
        <f>IF(B4="ng",1/1000000,0)</f>
        <v>0</v>
      </c>
      <c r="C33" s="36"/>
      <c r="D33" s="112"/>
    </row>
    <row r="34" spans="1:4" s="88" customFormat="1" ht="12.75" hidden="1">
      <c r="A34" s="111" t="s">
        <v>172</v>
      </c>
      <c r="B34" s="36">
        <f>IF(B4="pg",1/1000000000,0)</f>
        <v>0</v>
      </c>
      <c r="C34" s="36"/>
      <c r="D34" s="112"/>
    </row>
    <row r="35" spans="1:4" s="88" customFormat="1" ht="12.75" hidden="1">
      <c r="A35" s="111" t="s">
        <v>108</v>
      </c>
      <c r="B35" s="113">
        <f>SUM(B28:B34)</f>
        <v>1</v>
      </c>
      <c r="C35" s="113"/>
      <c r="D35" s="112"/>
    </row>
    <row r="36" spans="1:4" s="88" customFormat="1" ht="12.75" hidden="1">
      <c r="A36" s="111"/>
      <c r="B36" s="36"/>
      <c r="C36" s="36"/>
      <c r="D36" s="112"/>
    </row>
    <row r="37" spans="1:4" s="88" customFormat="1" ht="12.75" hidden="1">
      <c r="A37" s="114"/>
      <c r="B37" s="110" t="s">
        <v>173</v>
      </c>
      <c r="C37" s="110" t="s">
        <v>44</v>
      </c>
      <c r="D37" s="105"/>
    </row>
    <row r="38" spans="1:4" s="88" customFormat="1" ht="12.75" hidden="1">
      <c r="A38" s="107" t="s">
        <v>174</v>
      </c>
      <c r="B38" s="115" t="str">
        <f>"da "&amp;B3&amp;" ("&amp;B4&amp;")"</f>
        <v>da 0 (mg)</v>
      </c>
      <c r="C38" s="115" t="str">
        <f>"a "&amp;(B3*B35)&amp;" (mg)"</f>
        <v>a 0 (mg)</v>
      </c>
      <c r="D38" s="116">
        <f>B3*B35</f>
        <v>0</v>
      </c>
    </row>
    <row r="39" s="88" customFormat="1" ht="12.75" hidden="1">
      <c r="D39" s="117"/>
    </row>
    <row r="40" s="88" customFormat="1" ht="12.75" hidden="1"/>
    <row r="41" s="88" customFormat="1" ht="12.75" hidden="1"/>
    <row r="42" s="88" customFormat="1" ht="12.75" hidden="1"/>
    <row r="43" s="88" customFormat="1" ht="12.75" hidden="1"/>
    <row r="44" spans="1:4" s="88" customFormat="1" ht="12.75" hidden="1">
      <c r="A44" s="88" t="s">
        <v>175</v>
      </c>
      <c r="B44" s="88" t="s">
        <v>176</v>
      </c>
      <c r="C44" s="88" t="s">
        <v>177</v>
      </c>
      <c r="D44" s="88" t="s">
        <v>178</v>
      </c>
    </row>
    <row r="45" spans="1:4" s="88" customFormat="1" ht="12.75" hidden="1">
      <c r="A45" s="118">
        <f>D38</f>
        <v>0</v>
      </c>
      <c r="B45" s="52">
        <f>B24</f>
        <v>0</v>
      </c>
      <c r="C45" s="52">
        <f>B25</f>
        <v>0</v>
      </c>
      <c r="D45" s="52">
        <f>A45*B45*C45</f>
        <v>0</v>
      </c>
    </row>
    <row r="46" spans="1:4" s="88" customFormat="1" ht="12.75" hidden="1">
      <c r="A46" s="119">
        <f>D38</f>
        <v>0</v>
      </c>
      <c r="B46" s="120">
        <f>IF(B45&gt;0,B45,1)</f>
        <v>1</v>
      </c>
      <c r="C46" s="120">
        <f>IF(C45&gt;0,C45,1)</f>
        <v>1</v>
      </c>
      <c r="D46" s="119">
        <f>A46*B46*C46</f>
        <v>0</v>
      </c>
    </row>
    <row r="47" s="88" customFormat="1" ht="12.75" hidden="1">
      <c r="A47" s="117"/>
    </row>
    <row r="48" s="88" customFormat="1" ht="12.75" hidden="1"/>
    <row r="49" spans="1:3" s="88" customFormat="1" ht="12.75" hidden="1">
      <c r="A49" s="101"/>
      <c r="C49" s="121"/>
    </row>
    <row r="50" s="88" customFormat="1" ht="12.75" hidden="1"/>
    <row r="51" spans="1:4" s="88" customFormat="1" ht="12.75" hidden="1">
      <c r="A51" s="109" t="s">
        <v>179</v>
      </c>
      <c r="B51" s="110"/>
      <c r="C51" s="110"/>
      <c r="D51" s="105"/>
    </row>
    <row r="52" spans="1:4" s="88" customFormat="1" ht="12.75" hidden="1">
      <c r="A52" s="111" t="s">
        <v>166</v>
      </c>
      <c r="B52" s="36">
        <f>IF(B9="g",1/1000,0)</f>
        <v>0</v>
      </c>
      <c r="C52" s="36"/>
      <c r="D52" s="112"/>
    </row>
    <row r="53" spans="1:4" s="88" customFormat="1" ht="12.75" hidden="1">
      <c r="A53" s="111" t="s">
        <v>167</v>
      </c>
      <c r="B53" s="36">
        <f>IF(B9="dg",1/100,0)</f>
        <v>0</v>
      </c>
      <c r="C53" s="36"/>
      <c r="D53" s="112"/>
    </row>
    <row r="54" spans="1:4" s="88" customFormat="1" ht="12.75" hidden="1">
      <c r="A54" s="111" t="s">
        <v>168</v>
      </c>
      <c r="B54" s="36">
        <f>IF(B9="cg",1/10,0)</f>
        <v>0</v>
      </c>
      <c r="C54" s="36"/>
      <c r="D54" s="112"/>
    </row>
    <row r="55" spans="1:4" s="88" customFormat="1" ht="12.75" hidden="1">
      <c r="A55" s="111" t="s">
        <v>169</v>
      </c>
      <c r="B55" s="36">
        <f>IF(B9="mg",1,0)</f>
        <v>1</v>
      </c>
      <c r="C55" s="36"/>
      <c r="D55" s="112"/>
    </row>
    <row r="56" spans="1:4" s="88" customFormat="1" ht="12.75" hidden="1">
      <c r="A56" s="111" t="s">
        <v>170</v>
      </c>
      <c r="B56" s="36">
        <f>IF(B9="mcg",1000,0)</f>
        <v>0</v>
      </c>
      <c r="C56" s="36"/>
      <c r="D56" s="112"/>
    </row>
    <row r="57" spans="1:4" s="88" customFormat="1" ht="12.75" hidden="1">
      <c r="A57" s="111" t="s">
        <v>171</v>
      </c>
      <c r="B57" s="36">
        <f>IF(B9="ng",1000000,0)</f>
        <v>0</v>
      </c>
      <c r="C57" s="36"/>
      <c r="D57" s="112"/>
    </row>
    <row r="58" spans="1:4" s="88" customFormat="1" ht="12.75" hidden="1">
      <c r="A58" s="111" t="s">
        <v>172</v>
      </c>
      <c r="B58" s="36">
        <f>IF(B9="pg",1000000000,0)</f>
        <v>0</v>
      </c>
      <c r="C58" s="36"/>
      <c r="D58" s="112"/>
    </row>
    <row r="59" spans="1:4" s="88" customFormat="1" ht="12.75" hidden="1">
      <c r="A59" s="111" t="s">
        <v>108</v>
      </c>
      <c r="B59" s="113">
        <f>SUM(B52:B58)</f>
        <v>1</v>
      </c>
      <c r="C59" s="36"/>
      <c r="D59" s="112"/>
    </row>
    <row r="60" spans="1:4" s="88" customFormat="1" ht="12.75" hidden="1">
      <c r="A60" s="111"/>
      <c r="B60" s="113"/>
      <c r="C60" s="36"/>
      <c r="D60" s="112"/>
    </row>
    <row r="61" spans="1:4" s="88" customFormat="1" ht="12.75" hidden="1">
      <c r="A61" s="109"/>
      <c r="B61" s="122" t="s">
        <v>173</v>
      </c>
      <c r="C61" s="110" t="s">
        <v>44</v>
      </c>
      <c r="D61" s="105"/>
    </row>
    <row r="62" spans="1:4" s="88" customFormat="1" ht="12.75" hidden="1">
      <c r="A62" s="123" t="str">
        <f>"dose conf. da dare (in "&amp;B9&amp;"):"</f>
        <v>dose conf. da dare (in mg):</v>
      </c>
      <c r="B62" s="115" t="str">
        <f>"da "&amp;D46&amp;" (mg)"</f>
        <v>da 0 (mg)</v>
      </c>
      <c r="C62" s="115" t="str">
        <f>"a "&amp;(D46*B59)&amp;" ("&amp;B9&amp;")"</f>
        <v>a 0 (mg)</v>
      </c>
      <c r="D62" s="116">
        <f>D46*B59</f>
        <v>0</v>
      </c>
    </row>
    <row r="63" spans="1:4" s="88" customFormat="1" ht="12.75" hidden="1">
      <c r="A63" s="124"/>
      <c r="B63" s="36"/>
      <c r="C63" s="36"/>
      <c r="D63" s="36"/>
    </row>
    <row r="64" spans="1:4" s="88" customFormat="1" ht="12.75" hidden="1">
      <c r="A64" s="124"/>
      <c r="B64" s="36"/>
      <c r="C64" s="36"/>
      <c r="D64" s="36"/>
    </row>
    <row r="65" spans="1:6" ht="12.75" hidden="1">
      <c r="A65" s="88"/>
      <c r="C65" s="88"/>
      <c r="D65" s="88"/>
      <c r="E65" s="88"/>
      <c r="F65" s="88"/>
    </row>
    <row r="66" spans="1:6" ht="12.75" hidden="1">
      <c r="A66" s="125" t="s">
        <v>156</v>
      </c>
      <c r="B66" s="119" t="e">
        <f>D62/B8</f>
        <v>#DIV/0!</v>
      </c>
      <c r="C66" s="88"/>
      <c r="D66" s="126"/>
      <c r="E66" s="88"/>
      <c r="F66" s="88"/>
    </row>
    <row r="67" spans="1:6" ht="12.75" hidden="1">
      <c r="A67" s="125" t="str">
        <f>B9&amp;" confezione"</f>
        <v>mg confezione</v>
      </c>
      <c r="B67" s="119">
        <f>D62</f>
        <v>0</v>
      </c>
      <c r="C67" s="88"/>
      <c r="D67" s="88"/>
      <c r="E67" s="88"/>
      <c r="F67" s="88"/>
    </row>
    <row r="68" spans="1:6" ht="12.75" hidden="1">
      <c r="A68" s="125" t="s">
        <v>180</v>
      </c>
      <c r="B68" s="119" t="e">
        <f>(D62*B10)/B8</f>
        <v>#DIV/0!</v>
      </c>
      <c r="C68" s="88"/>
      <c r="D68" s="101"/>
      <c r="E68" s="88"/>
      <c r="F68" s="88"/>
    </row>
    <row r="69" spans="1:6" ht="12.75" hidden="1">
      <c r="A69" s="125" t="s">
        <v>158</v>
      </c>
      <c r="B69" s="119" t="e">
        <f>B71*20</f>
        <v>#DIV/0!</v>
      </c>
      <c r="C69" s="88"/>
      <c r="D69" s="101"/>
      <c r="E69" s="88"/>
      <c r="F69" s="88"/>
    </row>
    <row r="70" spans="1:6" ht="12.75" hidden="1">
      <c r="A70" s="125" t="s">
        <v>159</v>
      </c>
      <c r="B70" s="119" t="e">
        <f>B71*60</f>
        <v>#DIV/0!</v>
      </c>
      <c r="C70" s="88"/>
      <c r="D70" s="88"/>
      <c r="E70" s="88"/>
      <c r="F70" s="88"/>
    </row>
    <row r="71" spans="1:6" ht="12.75" hidden="1">
      <c r="A71" s="125" t="s">
        <v>160</v>
      </c>
      <c r="B71" s="119" t="e">
        <f>B14/(B13*60)</f>
        <v>#DIV/0!</v>
      </c>
      <c r="C71" s="88"/>
      <c r="D71" s="88"/>
      <c r="E71" s="88"/>
      <c r="F71" s="88"/>
    </row>
    <row r="72" spans="1:6" ht="12.75" hidden="1">
      <c r="A72" s="88"/>
      <c r="C72" s="88"/>
      <c r="D72" s="88"/>
      <c r="E72" s="88"/>
      <c r="F72" s="88"/>
    </row>
    <row r="73" spans="1:6" ht="12.75" hidden="1">
      <c r="A73" s="88"/>
      <c r="C73" s="88"/>
      <c r="D73" s="88"/>
      <c r="E73" s="88"/>
      <c r="F73" s="88"/>
    </row>
    <row r="74" spans="1:6" ht="12.75" hidden="1">
      <c r="A74" s="88" t="s">
        <v>181</v>
      </c>
      <c r="C74" s="88"/>
      <c r="D74" s="88"/>
      <c r="E74" s="88"/>
      <c r="F74" s="88"/>
    </row>
    <row r="75" spans="1:6" ht="12.75" hidden="1">
      <c r="A75" s="125" t="s">
        <v>182</v>
      </c>
      <c r="B75" s="88">
        <f>IF(B3&gt;0,1,0)</f>
        <v>0</v>
      </c>
      <c r="C75" s="88"/>
      <c r="D75" s="88"/>
      <c r="E75" s="88"/>
      <c r="F75" s="88"/>
    </row>
    <row r="76" spans="1:6" ht="12.75" hidden="1">
      <c r="A76" s="125" t="s">
        <v>183</v>
      </c>
      <c r="B76" s="88">
        <f>IF(B4&gt;0,1,0)</f>
        <v>1</v>
      </c>
      <c r="C76" s="88"/>
      <c r="D76" s="88"/>
      <c r="E76" s="88"/>
      <c r="F76" s="88"/>
    </row>
    <row r="77" spans="1:6" ht="12.75" hidden="1">
      <c r="A77" s="125" t="s">
        <v>184</v>
      </c>
      <c r="B77" s="88">
        <f>IF(B8&gt;0,1,0)</f>
        <v>0</v>
      </c>
      <c r="C77" s="88"/>
      <c r="D77" s="88"/>
      <c r="E77" s="88"/>
      <c r="F77" s="88"/>
    </row>
    <row r="78" spans="1:6" ht="12.75" hidden="1">
      <c r="A78" s="125" t="s">
        <v>185</v>
      </c>
      <c r="B78" s="88">
        <f>IF(B9&gt;0,1,0)</f>
        <v>1</v>
      </c>
      <c r="C78" s="88"/>
      <c r="D78" s="88"/>
      <c r="E78" s="88"/>
      <c r="F78" s="88"/>
    </row>
    <row r="79" spans="1:6" ht="12.75" hidden="1">
      <c r="A79" s="125" t="s">
        <v>157</v>
      </c>
      <c r="B79" s="88">
        <f>IF(B10&gt;0,1,0)</f>
        <v>0</v>
      </c>
      <c r="C79" s="88"/>
      <c r="D79" s="88"/>
      <c r="E79" s="88"/>
      <c r="F79" s="88"/>
    </row>
    <row r="80" spans="1:6" ht="12.75" hidden="1">
      <c r="A80" s="125" t="s">
        <v>154</v>
      </c>
      <c r="B80" s="88">
        <f>IF(B13&gt;0,1,0)</f>
        <v>0</v>
      </c>
      <c r="C80" s="88"/>
      <c r="D80" s="88"/>
      <c r="E80" s="88"/>
      <c r="F80" s="88"/>
    </row>
    <row r="81" spans="1:2" s="88" customFormat="1" ht="12.75" hidden="1">
      <c r="A81" s="125" t="s">
        <v>155</v>
      </c>
      <c r="B81" s="88">
        <f>IF(B14&gt;0,1,0)</f>
        <v>0</v>
      </c>
    </row>
    <row r="82" spans="1:3" s="88" customFormat="1" ht="12.75" hidden="1">
      <c r="A82" s="101" t="s">
        <v>108</v>
      </c>
      <c r="B82" s="88">
        <f>SUM(B75:B81)</f>
        <v>2</v>
      </c>
      <c r="C82" s="88">
        <f>B80+B81</f>
        <v>0</v>
      </c>
    </row>
    <row r="83" s="88" customFormat="1" ht="12.75" hidden="1"/>
    <row r="84" s="88" customFormat="1" ht="12.75" hidden="1">
      <c r="A84" s="88" t="s">
        <v>186</v>
      </c>
    </row>
    <row r="85" spans="1:3" s="88" customFormat="1" ht="12.75" hidden="1">
      <c r="A85" s="127" t="s">
        <v>187</v>
      </c>
      <c r="B85" s="88">
        <f>IF(B35*B59=0,1,0)</f>
        <v>0</v>
      </c>
      <c r="C85" s="88" t="s">
        <v>188</v>
      </c>
    </row>
    <row r="86" spans="1:3" s="88" customFormat="1" ht="12.75" hidden="1">
      <c r="A86" s="127" t="s">
        <v>189</v>
      </c>
      <c r="B86" s="88">
        <f>IF(B5*B6&gt;0,1,0)</f>
        <v>0</v>
      </c>
      <c r="C86" s="88" t="s">
        <v>190</v>
      </c>
    </row>
    <row r="87" spans="1:3" s="88" customFormat="1" ht="12.75" hidden="1">
      <c r="A87" s="127" t="s">
        <v>191</v>
      </c>
      <c r="B87" s="88">
        <f>IF(B5&gt;0,IF(B11&gt;0,0,1),0)</f>
        <v>0</v>
      </c>
      <c r="C87" s="88" t="s">
        <v>192</v>
      </c>
    </row>
    <row r="88" spans="1:3" s="88" customFormat="1" ht="12.75" hidden="1">
      <c r="A88" s="127" t="s">
        <v>193</v>
      </c>
      <c r="B88" s="88">
        <f>IF(B6&gt;0,IF(B12&gt;0,0,1),0)</f>
        <v>0</v>
      </c>
      <c r="C88" s="88" t="s">
        <v>194</v>
      </c>
    </row>
    <row r="89" spans="1:2" s="88" customFormat="1" ht="12.75" hidden="1">
      <c r="A89" s="101" t="s">
        <v>108</v>
      </c>
      <c r="B89" s="88" t="str">
        <f>IF(B85+B86+B87+B88&gt;0,"errore","corretto")</f>
        <v>corretto</v>
      </c>
    </row>
    <row r="90" s="88" customFormat="1" ht="12.75" hidden="1"/>
    <row r="91" s="88" customFormat="1" ht="12.75" hidden="1">
      <c r="B91" s="88" t="str">
        <f>IF(B82=7,IF(B89="corretto",B100,B89),"-----")</f>
        <v>-----</v>
      </c>
    </row>
    <row r="92" spans="1:15" s="88" customFormat="1" ht="12.75">
      <c r="A92" s="34"/>
      <c r="B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s="88" customFormat="1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1:15" s="88" customFormat="1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 s="88" customFormat="1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s="88" customFormat="1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 s="88" customFormat="1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15" s="88" customFormat="1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1:15" s="88" customFormat="1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</row>
    <row r="100" spans="1:15" s="88" customFormat="1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</row>
    <row r="101" spans="1:15" s="88" customFormat="1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</row>
    <row r="102" spans="1:15" s="88" customFormat="1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1:15" s="88" customFormat="1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</row>
    <row r="104" spans="1:15" s="88" customFormat="1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</row>
    <row r="105" spans="1:15" s="88" customFormat="1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</row>
    <row r="106" spans="1:15" s="88" customFormat="1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s="88" customFormat="1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s="88" customFormat="1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</row>
    <row r="109" spans="1:15" s="88" customFormat="1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</row>
    <row r="110" spans="1:15" s="88" customFormat="1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1:15" s="88" customFormat="1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</row>
    <row r="112" spans="1:15" s="88" customFormat="1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</row>
    <row r="113" spans="1:15" s="88" customFormat="1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  <row r="114" spans="1:15" s="88" customFormat="1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</row>
    <row r="115" spans="1:15" s="88" customFormat="1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</row>
    <row r="116" spans="1:15" s="88" customFormat="1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</row>
    <row r="117" spans="1:15" s="88" customFormat="1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1:15" s="88" customFormat="1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</row>
    <row r="119" spans="1:15" s="88" customFormat="1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</row>
    <row r="120" spans="1:15" s="88" customFormat="1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1:15" s="88" customFormat="1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</row>
    <row r="122" spans="1:15" s="88" customFormat="1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</row>
    <row r="123" spans="1:15" s="88" customFormat="1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1:15" s="88" customFormat="1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</row>
    <row r="125" spans="1:15" s="88" customFormat="1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</row>
    <row r="126" spans="1:15" s="88" customFormat="1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s="88" customFormat="1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</row>
    <row r="128" spans="1:15" s="88" customFormat="1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</row>
    <row r="129" spans="1:15" s="88" customFormat="1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5" s="88" customFormat="1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</row>
    <row r="131" spans="1:15" s="88" customFormat="1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</row>
    <row r="132" spans="1:15" s="88" customFormat="1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</row>
    <row r="133" spans="1:15" s="88" customFormat="1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</row>
    <row r="134" spans="1:15" s="88" customFormat="1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</row>
    <row r="135" spans="1:15" s="88" customFormat="1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</row>
    <row r="136" spans="1:15" s="88" customFormat="1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5" s="88" customFormat="1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s="88" customFormat="1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s="88" customFormat="1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</row>
    <row r="140" spans="1:15" s="88" customFormat="1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5" s="88" customFormat="1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</row>
    <row r="142" spans="1:15" s="88" customFormat="1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</row>
    <row r="143" spans="1:15" s="88" customFormat="1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</row>
    <row r="144" spans="1:15" s="88" customFormat="1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</row>
    <row r="145" spans="1:15" s="88" customFormat="1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</row>
    <row r="146" spans="1:15" s="88" customFormat="1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</row>
    <row r="147" spans="1:15" s="88" customFormat="1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</row>
    <row r="148" spans="1:15" s="88" customFormat="1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</row>
    <row r="149" spans="1:15" s="88" customFormat="1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</row>
    <row r="150" spans="1:15" s="88" customFormat="1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</row>
    <row r="151" spans="1:15" s="88" customFormat="1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</row>
    <row r="152" spans="1:15" s="88" customFormat="1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</row>
    <row r="153" spans="1:15" s="88" customFormat="1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</row>
    <row r="154" spans="1:15" s="88" customFormat="1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</row>
    <row r="155" s="88" customFormat="1" ht="12.75"/>
    <row r="156" s="88" customFormat="1" ht="12.75"/>
    <row r="157" s="88" customFormat="1" ht="12.75"/>
    <row r="158" s="88" customFormat="1" ht="12.75"/>
    <row r="159" s="88" customFormat="1" ht="12.75"/>
    <row r="160" s="88" customFormat="1" ht="12.75"/>
    <row r="161" s="88" customFormat="1" ht="12.75"/>
    <row r="162" s="88" customFormat="1" ht="12.75"/>
    <row r="163" s="88" customFormat="1" ht="12.75"/>
    <row r="164" s="88" customFormat="1" ht="12.75"/>
    <row r="165" s="88" customFormat="1" ht="12.75"/>
    <row r="166" s="88" customFormat="1" ht="12.75"/>
    <row r="167" s="88" customFormat="1" ht="12.75"/>
    <row r="168" s="88" customFormat="1" ht="12.75"/>
    <row r="169" s="88" customFormat="1" ht="12.75"/>
    <row r="170" s="88" customFormat="1" ht="12.75"/>
    <row r="171" s="88" customFormat="1" ht="12.75"/>
    <row r="172" s="88" customFormat="1" ht="12.75"/>
    <row r="173" s="88" customFormat="1" ht="12.75"/>
    <row r="174" s="88" customFormat="1" ht="12.75"/>
    <row r="175" s="88" customFormat="1" ht="12.75"/>
    <row r="176" s="88" customFormat="1" ht="12.75"/>
    <row r="177" s="88" customFormat="1" ht="12.75"/>
    <row r="178" s="88" customFormat="1" ht="12.75"/>
    <row r="179" s="88" customFormat="1" ht="12.75"/>
    <row r="180" s="88" customFormat="1" ht="12.75"/>
    <row r="181" s="88" customFormat="1" ht="12.75"/>
    <row r="182" s="88" customFormat="1" ht="12.75"/>
    <row r="183" s="88" customFormat="1" ht="12.75"/>
    <row r="184" s="88" customFormat="1" ht="12.75"/>
    <row r="185" s="88" customFormat="1" ht="12.75"/>
    <row r="186" s="88" customFormat="1" ht="12.75"/>
    <row r="187" s="88" customFormat="1" ht="12.75"/>
    <row r="188" s="88" customFormat="1" ht="12.75"/>
    <row r="189" s="88" customFormat="1" ht="12.75"/>
    <row r="190" s="88" customFormat="1" ht="12.75"/>
    <row r="191" s="88" customFormat="1" ht="12.75"/>
    <row r="192" s="88" customFormat="1" ht="12.75"/>
    <row r="193" s="88" customFormat="1" ht="12.75"/>
    <row r="194" s="88" customFormat="1" ht="12.75"/>
    <row r="195" s="88" customFormat="1" ht="12.75"/>
    <row r="196" s="88" customFormat="1" ht="12.75"/>
    <row r="197" s="88" customFormat="1" ht="12.75"/>
    <row r="198" s="88" customFormat="1" ht="12.75"/>
    <row r="199" s="88" customFormat="1" ht="12.75"/>
    <row r="200" s="88" customFormat="1" ht="12.75"/>
    <row r="201" s="88" customFormat="1" ht="12.75"/>
    <row r="202" s="88" customFormat="1" ht="12.75"/>
    <row r="203" s="88" customFormat="1" ht="12.75"/>
    <row r="204" s="88" customFormat="1" ht="12.75"/>
    <row r="205" s="88" customFormat="1" ht="12.75"/>
    <row r="206" s="88" customFormat="1" ht="12.75"/>
    <row r="207" s="88" customFormat="1" ht="12.75"/>
    <row r="208" s="88" customFormat="1" ht="12.75"/>
    <row r="209" s="88" customFormat="1" ht="12.75"/>
    <row r="210" s="88" customFormat="1" ht="12.75"/>
    <row r="211" s="88" customFormat="1" ht="12.75"/>
    <row r="212" s="88" customFormat="1" ht="12.75"/>
    <row r="213" s="88" customFormat="1" ht="12.75"/>
    <row r="214" s="88" customFormat="1" ht="12.75"/>
    <row r="215" s="88" customFormat="1" ht="12.75"/>
    <row r="216" s="88" customFormat="1" ht="12.75"/>
    <row r="217" s="88" customFormat="1" ht="12.75"/>
    <row r="218" s="88" customFormat="1" ht="12.75"/>
    <row r="219" s="88" customFormat="1" ht="12.75"/>
    <row r="220" s="88" customFormat="1" ht="12.75"/>
    <row r="221" s="88" customFormat="1" ht="12.75"/>
    <row r="222" s="88" customFormat="1" ht="12.75"/>
    <row r="223" s="88" customFormat="1" ht="12.75"/>
    <row r="224" s="88" customFormat="1" ht="12.75"/>
    <row r="225" s="88" customFormat="1" ht="12.75"/>
    <row r="226" s="88" customFormat="1" ht="12.75"/>
    <row r="227" s="88" customFormat="1" ht="12.75"/>
    <row r="228" s="88" customFormat="1" ht="12.75"/>
    <row r="229" s="88" customFormat="1" ht="12.75"/>
    <row r="230" s="88" customFormat="1" ht="12.75"/>
    <row r="231" s="88" customFormat="1" ht="12.75"/>
    <row r="232" s="88" customFormat="1" ht="12.75"/>
    <row r="233" s="88" customFormat="1" ht="12.75"/>
    <row r="234" s="88" customFormat="1" ht="12.75"/>
    <row r="235" s="88" customFormat="1" ht="12.75"/>
    <row r="236" s="88" customFormat="1" ht="12.75"/>
    <row r="237" s="88" customFormat="1" ht="12.75"/>
    <row r="238" s="88" customFormat="1" ht="12.75"/>
    <row r="239" s="88" customFormat="1" ht="12.75"/>
    <row r="240" s="88" customFormat="1" ht="12.75"/>
    <row r="241" s="88" customFormat="1" ht="12.75"/>
    <row r="242" s="88" customFormat="1" ht="12.75"/>
    <row r="243" s="88" customFormat="1" ht="12.75"/>
    <row r="244" s="88" customFormat="1" ht="12.75"/>
    <row r="245" s="88" customFormat="1" ht="12.75"/>
    <row r="246" s="88" customFormat="1" ht="12.75"/>
    <row r="247" s="88" customFormat="1" ht="12.75"/>
    <row r="248" s="88" customFormat="1" ht="12.75"/>
    <row r="249" s="88" customFormat="1" ht="12.75"/>
    <row r="250" s="88" customFormat="1" ht="12.75"/>
    <row r="251" s="88" customFormat="1" ht="12.75"/>
    <row r="252" s="88" customFormat="1" ht="12.75"/>
    <row r="253" s="88" customFormat="1" ht="12.75"/>
    <row r="254" s="88" customFormat="1" ht="12.75"/>
    <row r="255" s="88" customFormat="1" ht="12.75"/>
    <row r="256" s="88" customFormat="1" ht="12.75"/>
    <row r="257" s="88" customFormat="1" ht="12.75"/>
    <row r="258" s="88" customFormat="1" ht="12.75"/>
    <row r="259" s="88" customFormat="1" ht="12.75"/>
    <row r="260" s="88" customFormat="1" ht="12.75"/>
    <row r="261" s="88" customFormat="1" ht="12.75"/>
    <row r="262" s="88" customFormat="1" ht="12.75"/>
    <row r="263" s="88" customFormat="1" ht="12.75"/>
    <row r="264" s="88" customFormat="1" ht="12.75"/>
    <row r="265" s="88" customFormat="1" ht="12.75"/>
    <row r="266" s="88" customFormat="1" ht="12.75"/>
    <row r="267" s="88" customFormat="1" ht="12.75"/>
    <row r="268" s="88" customFormat="1" ht="12.75"/>
    <row r="269" s="88" customFormat="1" ht="12.75"/>
    <row r="270" s="88" customFormat="1" ht="12.75"/>
    <row r="271" s="88" customFormat="1" ht="12.75"/>
    <row r="272" s="88" customFormat="1" ht="12.75"/>
    <row r="273" s="88" customFormat="1" ht="12.75"/>
    <row r="274" s="88" customFormat="1" ht="12.75"/>
    <row r="275" s="88" customFormat="1" ht="12.75"/>
    <row r="276" s="88" customFormat="1" ht="12.75"/>
    <row r="277" s="88" customFormat="1" ht="12.75"/>
    <row r="278" s="88" customFormat="1" ht="12.75"/>
    <row r="279" s="88" customFormat="1" ht="12.75"/>
    <row r="280" s="88" customFormat="1" ht="12.75"/>
    <row r="281" s="88" customFormat="1" ht="12.75"/>
    <row r="282" s="88" customFormat="1" ht="12.75"/>
    <row r="283" s="88" customFormat="1" ht="12.75"/>
    <row r="284" s="88" customFormat="1" ht="12.75"/>
    <row r="285" s="88" customFormat="1" ht="12.75"/>
    <row r="286" s="88" customFormat="1" ht="12.75"/>
    <row r="287" s="88" customFormat="1" ht="12.75"/>
    <row r="288" s="88" customFormat="1" ht="12.75"/>
    <row r="289" s="88" customFormat="1" ht="12.75"/>
    <row r="290" s="88" customFormat="1" ht="12.75"/>
    <row r="291" s="88" customFormat="1" ht="12.75"/>
    <row r="292" s="88" customFormat="1" ht="12.75"/>
    <row r="293" s="88" customFormat="1" ht="12.75"/>
    <row r="294" s="88" customFormat="1" ht="12.75"/>
    <row r="295" s="88" customFormat="1" ht="12.75"/>
    <row r="296" s="88" customFormat="1" ht="12.75"/>
    <row r="297" s="88" customFormat="1" ht="12.75"/>
    <row r="298" s="88" customFormat="1" ht="12.75"/>
    <row r="299" s="88" customFormat="1" ht="12.75"/>
    <row r="300" s="88" customFormat="1" ht="12.75"/>
    <row r="301" s="88" customFormat="1" ht="12.75"/>
    <row r="302" s="88" customFormat="1" ht="12.75"/>
    <row r="303" s="88" customFormat="1" ht="12.75"/>
    <row r="304" s="88" customFormat="1" ht="12.75"/>
    <row r="305" s="88" customFormat="1" ht="12.75"/>
    <row r="306" s="88" customFormat="1" ht="12.75"/>
    <row r="307" s="88" customFormat="1" ht="12.75"/>
    <row r="308" s="88" customFormat="1" ht="12.75"/>
    <row r="309" s="88" customFormat="1" ht="12.75"/>
    <row r="310" s="88" customFormat="1" ht="12.75"/>
    <row r="311" s="88" customFormat="1" ht="12.75"/>
    <row r="312" s="88" customFormat="1" ht="12.75"/>
    <row r="313" s="88" customFormat="1" ht="12.75"/>
    <row r="314" s="88" customFormat="1" ht="12.75"/>
    <row r="315" s="88" customFormat="1" ht="12.75"/>
    <row r="316" s="88" customFormat="1" ht="12.75"/>
    <row r="317" s="88" customFormat="1" ht="12.75"/>
    <row r="318" s="88" customFormat="1" ht="12.75"/>
    <row r="319" s="88" customFormat="1" ht="12.75"/>
    <row r="320" s="88" customFormat="1" ht="12.75"/>
    <row r="321" s="88" customFormat="1" ht="12.75"/>
    <row r="322" s="88" customFormat="1" ht="12.75"/>
    <row r="323" s="88" customFormat="1" ht="12.75"/>
    <row r="324" s="88" customFormat="1" ht="12.75"/>
    <row r="325" s="88" customFormat="1" ht="12.75"/>
    <row r="326" s="88" customFormat="1" ht="12.75"/>
    <row r="327" s="88" customFormat="1" ht="12.75"/>
    <row r="328" s="88" customFormat="1" ht="12.75"/>
    <row r="329" s="88" customFormat="1" ht="12.75"/>
    <row r="330" s="88" customFormat="1" ht="12.75"/>
    <row r="331" s="88" customFormat="1" ht="12.75"/>
    <row r="332" s="88" customFormat="1" ht="12.75"/>
    <row r="333" s="88" customFormat="1" ht="12.75"/>
    <row r="334" s="88" customFormat="1" ht="12.75"/>
    <row r="335" s="88" customFormat="1" ht="12.75"/>
    <row r="336" s="88" customFormat="1" ht="12.75"/>
    <row r="337" s="88" customFormat="1" ht="12.75"/>
    <row r="338" s="88" customFormat="1" ht="12.75"/>
    <row r="339" s="88" customFormat="1" ht="12.75"/>
    <row r="340" s="88" customFormat="1" ht="12.75"/>
    <row r="341" s="88" customFormat="1" ht="12.75"/>
    <row r="342" s="88" customFormat="1" ht="12.75"/>
    <row r="343" s="88" customFormat="1" ht="12.75"/>
    <row r="344" s="88" customFormat="1" ht="12.75"/>
    <row r="345" s="88" customFormat="1" ht="12.75"/>
    <row r="346" s="88" customFormat="1" ht="12.75"/>
    <row r="347" s="88" customFormat="1" ht="12.75"/>
    <row r="348" s="88" customFormat="1" ht="12.75"/>
    <row r="349" s="88" customFormat="1" ht="12.75"/>
    <row r="350" s="88" customFormat="1" ht="12.75"/>
    <row r="351" s="88" customFormat="1" ht="12.75"/>
    <row r="352" s="88" customFormat="1" ht="12.75"/>
    <row r="353" s="88" customFormat="1" ht="12.75"/>
    <row r="354" s="88" customFormat="1" ht="12.75"/>
    <row r="355" s="88" customFormat="1" ht="12.75"/>
    <row r="356" s="88" customFormat="1" ht="12.75"/>
    <row r="357" s="88" customFormat="1" ht="12.75"/>
    <row r="358" s="88" customFormat="1" ht="12.75"/>
    <row r="359" s="88" customFormat="1" ht="12.75"/>
    <row r="360" s="88" customFormat="1" ht="12.75"/>
    <row r="361" s="88" customFormat="1" ht="12.75"/>
    <row r="362" s="88" customFormat="1" ht="12.75"/>
    <row r="363" s="88" customFormat="1" ht="12.75"/>
    <row r="364" s="88" customFormat="1" ht="12.75"/>
    <row r="365" s="88" customFormat="1" ht="12.75"/>
    <row r="366" s="88" customFormat="1" ht="12.75"/>
    <row r="367" s="88" customFormat="1" ht="12.75"/>
    <row r="368" s="88" customFormat="1" ht="12.75"/>
    <row r="369" s="88" customFormat="1" ht="12.75"/>
    <row r="370" s="88" customFormat="1" ht="12.75"/>
    <row r="371" s="88" customFormat="1" ht="12.75"/>
    <row r="372" s="88" customFormat="1" ht="12.75"/>
    <row r="373" s="88" customFormat="1" ht="12.75"/>
    <row r="374" s="88" customFormat="1" ht="12.75"/>
    <row r="375" s="88" customFormat="1" ht="12.75"/>
    <row r="376" s="88" customFormat="1" ht="12.75"/>
    <row r="377" s="88" customFormat="1" ht="12.75"/>
    <row r="378" s="88" customFormat="1" ht="12.75"/>
    <row r="379" s="88" customFormat="1" ht="12.75"/>
    <row r="380" s="88" customFormat="1" ht="12.75"/>
  </sheetData>
  <sheetProtection password="8AD1" sheet="1" objects="1" scenarios="1"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8"/>
  <sheetViews>
    <sheetView workbookViewId="0" topLeftCell="A1">
      <selection activeCell="A2" sqref="A2"/>
    </sheetView>
  </sheetViews>
  <sheetFormatPr defaultColWidth="9.140625" defaultRowHeight="12.75"/>
  <cols>
    <col min="1" max="1" width="22.00390625" style="88" customWidth="1"/>
    <col min="2" max="2" width="8.140625" style="88" customWidth="1"/>
    <col min="3" max="3" width="20.7109375" style="88" bestFit="1" customWidth="1"/>
    <col min="4" max="4" width="12.00390625" style="88" bestFit="1" customWidth="1"/>
    <col min="5" max="6" width="9.140625" style="7" customWidth="1"/>
    <col min="7" max="7" width="11.140625" style="7" bestFit="1" customWidth="1"/>
    <col min="8" max="16384" width="9.140625" style="7" customWidth="1"/>
  </cols>
  <sheetData>
    <row r="1" spans="1:16" ht="12.75">
      <c r="A1" s="69" t="s">
        <v>195</v>
      </c>
      <c r="B1" s="59"/>
      <c r="C1" s="71"/>
      <c r="D1" s="34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2.75">
      <c r="A2" s="8" t="s">
        <v>336</v>
      </c>
      <c r="B2" s="128"/>
      <c r="C2" s="72"/>
      <c r="D2" s="34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12.75">
      <c r="A3" s="129" t="s">
        <v>196</v>
      </c>
      <c r="B3" s="190">
        <v>0</v>
      </c>
      <c r="C3" s="13" t="s">
        <v>2</v>
      </c>
      <c r="D3" s="50"/>
      <c r="E3" s="17"/>
      <c r="F3" s="17"/>
      <c r="G3" s="17"/>
      <c r="H3" s="17"/>
      <c r="I3" s="17"/>
      <c r="J3" s="17"/>
      <c r="K3" s="17"/>
      <c r="L3" s="17"/>
      <c r="M3" s="34"/>
      <c r="N3" s="17"/>
      <c r="O3" s="17"/>
      <c r="P3" s="17"/>
    </row>
    <row r="4" spans="1:16" ht="12.75">
      <c r="A4" s="129" t="s">
        <v>197</v>
      </c>
      <c r="B4" s="190">
        <v>0</v>
      </c>
      <c r="C4" s="19" t="s">
        <v>2</v>
      </c>
      <c r="D4" s="34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2.75">
      <c r="A5" s="129" t="s">
        <v>152</v>
      </c>
      <c r="B5" s="190">
        <v>0</v>
      </c>
      <c r="C5" s="19" t="s">
        <v>2</v>
      </c>
      <c r="D5" s="34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12.75">
      <c r="A6" s="129" t="s">
        <v>266</v>
      </c>
      <c r="B6" s="190" t="s">
        <v>262</v>
      </c>
      <c r="C6" s="19" t="s">
        <v>2</v>
      </c>
      <c r="D6" s="34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129" t="s">
        <v>198</v>
      </c>
      <c r="B7" s="190"/>
      <c r="C7" s="19" t="s">
        <v>2</v>
      </c>
      <c r="D7" s="3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 hidden="1">
      <c r="A8" s="130" t="s">
        <v>199</v>
      </c>
      <c r="B8" s="193">
        <v>0</v>
      </c>
      <c r="C8" s="23" t="s">
        <v>79</v>
      </c>
      <c r="D8" s="34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2.75">
      <c r="A9" s="131" t="s">
        <v>200</v>
      </c>
      <c r="B9" s="197" t="str">
        <f>IF(B38=3,B21*B22,"-----")</f>
        <v>-----</v>
      </c>
      <c r="C9" s="26" t="s">
        <v>10</v>
      </c>
      <c r="D9" s="6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32" t="s">
        <v>201</v>
      </c>
      <c r="B10" s="197" t="str">
        <f>IF(B38=3,(B25)*(B26)*(B27),"-----")</f>
        <v>-----</v>
      </c>
      <c r="C10" s="26" t="s">
        <v>10</v>
      </c>
      <c r="D10" s="66"/>
      <c r="E10" s="34"/>
      <c r="F10" s="34"/>
      <c r="G10" s="34"/>
      <c r="H10" s="34"/>
      <c r="I10" s="34"/>
      <c r="J10" s="17"/>
      <c r="K10" s="17"/>
      <c r="L10" s="17"/>
      <c r="M10" s="17"/>
      <c r="N10" s="17"/>
      <c r="O10" s="17"/>
      <c r="P10" s="17"/>
    </row>
    <row r="11" spans="1:16" ht="12.75" hidden="1">
      <c r="A11" s="131" t="s">
        <v>202</v>
      </c>
      <c r="B11" s="197" t="str">
        <f>IF(B8&gt;0,B32,"-----")</f>
        <v>-----</v>
      </c>
      <c r="C11" s="26" t="s">
        <v>10</v>
      </c>
      <c r="D11" s="34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2.75" hidden="1">
      <c r="A12" s="132" t="s">
        <v>203</v>
      </c>
      <c r="B12" s="197" t="str">
        <f>IF(B8&gt;0,B31,"-----")</f>
        <v>-----</v>
      </c>
      <c r="C12" s="26" t="s">
        <v>10</v>
      </c>
      <c r="D12" s="34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2.75">
      <c r="A13" s="17"/>
      <c r="B13" s="34"/>
      <c r="C13" s="30" t="s">
        <v>16</v>
      </c>
      <c r="D13" s="34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ht="12.75" hidden="1">
      <c r="A14" s="7"/>
    </row>
    <row r="15" ht="12.75" hidden="1">
      <c r="A15" s="7"/>
    </row>
    <row r="16" ht="12.75" hidden="1"/>
    <row r="17" ht="12.75" hidden="1"/>
    <row r="18" ht="12.75" hidden="1"/>
    <row r="19" spans="1:2" ht="12.75" hidden="1">
      <c r="A19" s="88" t="s">
        <v>204</v>
      </c>
      <c r="B19" s="88">
        <f>(140-B4)*B5</f>
        <v>0</v>
      </c>
    </row>
    <row r="20" spans="1:2" ht="12.75" hidden="1">
      <c r="A20" s="88" t="s">
        <v>205</v>
      </c>
      <c r="B20" s="88">
        <f>(B3*72)</f>
        <v>0</v>
      </c>
    </row>
    <row r="21" spans="1:2" ht="12.75" hidden="1">
      <c r="A21" s="88" t="s">
        <v>206</v>
      </c>
      <c r="B21" s="88" t="e">
        <f>B19/B20</f>
        <v>#DIV/0!</v>
      </c>
    </row>
    <row r="22" spans="1:2" ht="12.75" hidden="1">
      <c r="A22" s="88" t="s">
        <v>207</v>
      </c>
      <c r="B22" s="88">
        <f>IF(B6="f",0.85,1)</f>
        <v>1</v>
      </c>
    </row>
    <row r="23" spans="1:2" ht="12.75" hidden="1">
      <c r="A23" s="88" t="s">
        <v>208</v>
      </c>
      <c r="B23" s="88" t="e">
        <f>POWER(B3,-1.154)</f>
        <v>#DIV/0!</v>
      </c>
    </row>
    <row r="24" spans="1:2" ht="12.75" hidden="1">
      <c r="A24" s="88" t="s">
        <v>209</v>
      </c>
      <c r="B24" s="88" t="e">
        <f>POWER(B4,-0.203)</f>
        <v>#DIV/0!</v>
      </c>
    </row>
    <row r="25" spans="1:2" ht="12.75" hidden="1">
      <c r="A25" s="88" t="s">
        <v>210</v>
      </c>
      <c r="B25" s="88" t="e">
        <f>186*B23*B24</f>
        <v>#DIV/0!</v>
      </c>
    </row>
    <row r="26" spans="1:2" ht="12.75" hidden="1">
      <c r="A26" s="88" t="s">
        <v>211</v>
      </c>
      <c r="B26" s="88">
        <f>IF(B6="f",0.742,1)</f>
        <v>1</v>
      </c>
    </row>
    <row r="27" spans="1:2" ht="12.75" hidden="1">
      <c r="A27" s="88" t="s">
        <v>212</v>
      </c>
      <c r="B27" s="88">
        <f>IF(B7="n",1.21,1)</f>
        <v>1</v>
      </c>
    </row>
    <row r="28" spans="1:2" ht="12.75" hidden="1">
      <c r="A28" s="7" t="s">
        <v>213</v>
      </c>
      <c r="B28" s="88">
        <f>POWER(B5,0.425)</f>
        <v>0</v>
      </c>
    </row>
    <row r="29" spans="1:2" ht="12.75" hidden="1">
      <c r="A29" s="88" t="s">
        <v>214</v>
      </c>
      <c r="B29" s="88">
        <f>POWER(B8,0.725)</f>
        <v>0</v>
      </c>
    </row>
    <row r="30" spans="1:2" ht="12.75" hidden="1">
      <c r="A30" s="88" t="s">
        <v>215</v>
      </c>
      <c r="B30" s="88">
        <f>0.007184*B28*B29</f>
        <v>0</v>
      </c>
    </row>
    <row r="31" spans="1:2" ht="12.75" hidden="1">
      <c r="A31" s="88" t="s">
        <v>216</v>
      </c>
      <c r="B31" s="88" t="e">
        <f>(B10*B30)/1.73</f>
        <v>#VALUE!</v>
      </c>
    </row>
    <row r="32" spans="1:2" ht="12.75" hidden="1">
      <c r="A32" s="88" t="s">
        <v>217</v>
      </c>
      <c r="B32" s="88" t="e">
        <f>(B9/B30)*1.73</f>
        <v>#VALUE!</v>
      </c>
    </row>
    <row r="33" ht="12.75" hidden="1"/>
    <row r="34" ht="12.75" hidden="1"/>
    <row r="35" spans="1:2" ht="12.75" hidden="1">
      <c r="A35" s="133" t="s">
        <v>196</v>
      </c>
      <c r="B35" s="88">
        <f>IF(B3=0,0,1)</f>
        <v>0</v>
      </c>
    </row>
    <row r="36" spans="1:2" ht="12.75" hidden="1">
      <c r="A36" s="134" t="s">
        <v>197</v>
      </c>
      <c r="B36" s="88">
        <f>IF(B4=0,0,1)</f>
        <v>0</v>
      </c>
    </row>
    <row r="37" spans="1:2" ht="12.75" hidden="1">
      <c r="A37" s="134" t="s">
        <v>152</v>
      </c>
      <c r="B37" s="88">
        <f>IF(B5=0,0,1)</f>
        <v>0</v>
      </c>
    </row>
    <row r="38" spans="1:2" ht="12.75" hidden="1">
      <c r="A38" s="88" t="s">
        <v>108</v>
      </c>
      <c r="B38" s="88">
        <f>SUM(B35:B37)</f>
        <v>0</v>
      </c>
    </row>
    <row r="39" spans="1:16" ht="12.75">
      <c r="A39" s="34"/>
      <c r="B39" s="34"/>
      <c r="C39" s="34"/>
      <c r="D39" s="3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2.75">
      <c r="A40" s="135"/>
      <c r="B40" s="34"/>
      <c r="C40" s="34"/>
      <c r="D40" s="3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2.75">
      <c r="A41" s="34"/>
      <c r="B41" s="34"/>
      <c r="C41" s="34"/>
      <c r="D41" s="3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2.75">
      <c r="A42" s="34"/>
      <c r="B42" s="34"/>
      <c r="C42" s="34"/>
      <c r="D42" s="3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2.75">
      <c r="A43" s="34"/>
      <c r="B43" s="34"/>
      <c r="C43" s="34"/>
      <c r="D43" s="3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2.75">
      <c r="A44" s="34"/>
      <c r="B44" s="34"/>
      <c r="C44" s="34"/>
      <c r="D44" s="3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2.75">
      <c r="A45" s="34"/>
      <c r="B45" s="34"/>
      <c r="C45" s="34"/>
      <c r="D45" s="3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2.75">
      <c r="A46" s="34"/>
      <c r="B46" s="34"/>
      <c r="C46" s="34"/>
      <c r="D46" s="3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2.75">
      <c r="A47" s="34"/>
      <c r="B47" s="34"/>
      <c r="C47" s="34"/>
      <c r="D47" s="3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2.75">
      <c r="A48" s="34"/>
      <c r="B48" s="34"/>
      <c r="C48" s="34"/>
      <c r="D48" s="3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2.75">
      <c r="A49" s="34"/>
      <c r="B49" s="34"/>
      <c r="C49" s="34"/>
      <c r="D49" s="3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2.75">
      <c r="A50" s="34"/>
      <c r="B50" s="34"/>
      <c r="C50" s="34"/>
      <c r="D50" s="3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2.75">
      <c r="A51" s="34"/>
      <c r="B51" s="34"/>
      <c r="C51" s="34"/>
      <c r="D51" s="3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2.75">
      <c r="A52" s="34"/>
      <c r="B52" s="34"/>
      <c r="C52" s="34"/>
      <c r="D52" s="3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2.75">
      <c r="A53" s="34"/>
      <c r="B53" s="34"/>
      <c r="C53" s="34"/>
      <c r="D53" s="34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2.75">
      <c r="A54" s="34"/>
      <c r="B54" s="34"/>
      <c r="C54" s="34"/>
      <c r="D54" s="3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2.75">
      <c r="A55" s="34"/>
      <c r="B55" s="34"/>
      <c r="C55" s="34"/>
      <c r="D55" s="34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2.75">
      <c r="A56" s="34"/>
      <c r="B56" s="34"/>
      <c r="C56" s="34"/>
      <c r="D56" s="34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2.75">
      <c r="A57" s="34"/>
      <c r="B57" s="34"/>
      <c r="C57" s="34"/>
      <c r="D57" s="34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2.75">
      <c r="A58" s="34"/>
      <c r="B58" s="34"/>
      <c r="C58" s="34"/>
      <c r="D58" s="34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2.75">
      <c r="A59" s="34"/>
      <c r="B59" s="34"/>
      <c r="C59" s="34"/>
      <c r="D59" s="34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2.75">
      <c r="A60" s="34"/>
      <c r="B60" s="34"/>
      <c r="C60" s="34"/>
      <c r="D60" s="34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2.75">
      <c r="A61" s="34"/>
      <c r="B61" s="34"/>
      <c r="C61" s="34"/>
      <c r="D61" s="34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ht="12.75">
      <c r="A62" s="34"/>
      <c r="B62" s="34"/>
      <c r="C62" s="34"/>
      <c r="D62" s="34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2.75">
      <c r="A63" s="34"/>
      <c r="B63" s="34"/>
      <c r="C63" s="34"/>
      <c r="D63" s="34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2.75">
      <c r="A64" s="34"/>
      <c r="B64" s="34"/>
      <c r="C64" s="34"/>
      <c r="D64" s="34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ht="12.75">
      <c r="A65" s="34"/>
      <c r="B65" s="34"/>
      <c r="C65" s="34"/>
      <c r="D65" s="34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ht="12.75">
      <c r="A66" s="34"/>
      <c r="B66" s="34"/>
      <c r="C66" s="34"/>
      <c r="D66" s="34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ht="12.75">
      <c r="A67" s="34"/>
      <c r="B67" s="34"/>
      <c r="C67" s="34"/>
      <c r="D67" s="34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ht="12.75">
      <c r="A68" s="34"/>
      <c r="B68" s="34"/>
      <c r="C68" s="34"/>
      <c r="D68" s="34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ht="12.75">
      <c r="A69" s="34"/>
      <c r="B69" s="34"/>
      <c r="C69" s="34"/>
      <c r="D69" s="34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ht="12.75">
      <c r="A70" s="34"/>
      <c r="B70" s="34"/>
      <c r="C70" s="34"/>
      <c r="D70" s="34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ht="12.75">
      <c r="A71" s="34"/>
      <c r="B71" s="34"/>
      <c r="C71" s="34"/>
      <c r="D71" s="34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ht="12.75">
      <c r="A72" s="34"/>
      <c r="B72" s="34"/>
      <c r="C72" s="34"/>
      <c r="D72" s="34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ht="12.75">
      <c r="A73" s="34"/>
      <c r="B73" s="34"/>
      <c r="C73" s="34"/>
      <c r="D73" s="34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ht="12.75">
      <c r="A74" s="34"/>
      <c r="B74" s="34"/>
      <c r="C74" s="34"/>
      <c r="D74" s="34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ht="12.75">
      <c r="A75" s="34"/>
      <c r="B75" s="34"/>
      <c r="C75" s="34"/>
      <c r="D75" s="34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ht="12.75">
      <c r="A76" s="34"/>
      <c r="B76" s="34"/>
      <c r="C76" s="34"/>
      <c r="D76" s="34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12.75">
      <c r="A77" s="34"/>
      <c r="B77" s="34"/>
      <c r="C77" s="34"/>
      <c r="D77" s="34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ht="12.75">
      <c r="A78" s="34"/>
      <c r="B78" s="34"/>
      <c r="C78" s="34"/>
      <c r="D78" s="34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ht="12.75">
      <c r="A79" s="34"/>
      <c r="B79" s="34"/>
      <c r="C79" s="34"/>
      <c r="D79" s="34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ht="12.75">
      <c r="A80" s="34"/>
      <c r="B80" s="34"/>
      <c r="C80" s="34"/>
      <c r="D80" s="34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ht="12.75">
      <c r="A81" s="34"/>
      <c r="B81" s="34"/>
      <c r="C81" s="34"/>
      <c r="D81" s="34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12.75">
      <c r="A82" s="34"/>
      <c r="B82" s="34"/>
      <c r="C82" s="34"/>
      <c r="D82" s="34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12.75">
      <c r="A83" s="34"/>
      <c r="B83" s="34"/>
      <c r="C83" s="34"/>
      <c r="D83" s="34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2.75">
      <c r="A84" s="34"/>
      <c r="B84" s="34"/>
      <c r="C84" s="34"/>
      <c r="D84" s="34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2.75">
      <c r="A85" s="34"/>
      <c r="B85" s="34"/>
      <c r="C85" s="34"/>
      <c r="D85" s="34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12.75">
      <c r="A86" s="34"/>
      <c r="B86" s="34"/>
      <c r="C86" s="34"/>
      <c r="D86" s="34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12.75">
      <c r="A87" s="34"/>
      <c r="B87" s="34"/>
      <c r="C87" s="34"/>
      <c r="D87" s="34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2.75">
      <c r="A88" s="34"/>
      <c r="B88" s="34"/>
      <c r="C88" s="34"/>
      <c r="D88" s="34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12.75">
      <c r="A89" s="34"/>
      <c r="B89" s="34"/>
      <c r="C89" s="34"/>
      <c r="D89" s="34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12.75">
      <c r="A90" s="34"/>
      <c r="B90" s="34"/>
      <c r="C90" s="34"/>
      <c r="D90" s="34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12.75">
      <c r="A91" s="34"/>
      <c r="B91" s="34"/>
      <c r="C91" s="34"/>
      <c r="D91" s="34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12.75">
      <c r="A92" s="34"/>
      <c r="B92" s="34"/>
      <c r="C92" s="34"/>
      <c r="D92" s="34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2.75">
      <c r="A93" s="34"/>
      <c r="B93" s="34"/>
      <c r="C93" s="34"/>
      <c r="D93" s="34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2.75">
      <c r="A94" s="34"/>
      <c r="B94" s="34"/>
      <c r="C94" s="34"/>
      <c r="D94" s="34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12.75">
      <c r="A95" s="34"/>
      <c r="B95" s="34"/>
      <c r="C95" s="34"/>
      <c r="D95" s="34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12.75">
      <c r="A96" s="34"/>
      <c r="B96" s="34"/>
      <c r="C96" s="34"/>
      <c r="D96" s="34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12.75">
      <c r="A97" s="34"/>
      <c r="B97" s="34"/>
      <c r="C97" s="34"/>
      <c r="D97" s="34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2.75">
      <c r="A98" s="34"/>
      <c r="B98" s="34"/>
      <c r="C98" s="34"/>
      <c r="D98" s="34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2.75">
      <c r="A99" s="34"/>
      <c r="B99" s="34"/>
      <c r="C99" s="34"/>
      <c r="D99" s="34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2.75">
      <c r="A100" s="34"/>
      <c r="B100" s="34"/>
      <c r="C100" s="34"/>
      <c r="D100" s="34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12.75">
      <c r="A101" s="34"/>
      <c r="B101" s="34"/>
      <c r="C101" s="34"/>
      <c r="D101" s="34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ht="12.75">
      <c r="A102" s="34"/>
      <c r="B102" s="34"/>
      <c r="C102" s="34"/>
      <c r="D102" s="34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ht="12.75">
      <c r="A103" s="34"/>
      <c r="B103" s="34"/>
      <c r="C103" s="34"/>
      <c r="D103" s="34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ht="12.75">
      <c r="A104" s="34"/>
      <c r="B104" s="34"/>
      <c r="C104" s="34"/>
      <c r="D104" s="34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ht="12.75">
      <c r="A105" s="34"/>
      <c r="B105" s="34"/>
      <c r="C105" s="34"/>
      <c r="D105" s="34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12.75">
      <c r="A106" s="34"/>
      <c r="B106" s="34"/>
      <c r="C106" s="34"/>
      <c r="D106" s="34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ht="12.75">
      <c r="A107" s="34"/>
      <c r="B107" s="34"/>
      <c r="C107" s="34"/>
      <c r="D107" s="34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12.75">
      <c r="A108" s="34"/>
      <c r="B108" s="34"/>
      <c r="C108" s="34"/>
      <c r="D108" s="34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</sheetData>
  <sheetProtection password="8AD1" sheet="1" objects="1" scenarios="1"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J64"/>
  <sheetViews>
    <sheetView workbookViewId="0" topLeftCell="A1">
      <selection activeCell="A2" sqref="A2"/>
    </sheetView>
  </sheetViews>
  <sheetFormatPr defaultColWidth="9.140625" defaultRowHeight="12.75"/>
  <cols>
    <col min="1" max="1" width="16.8515625" style="146" customWidth="1"/>
    <col min="2" max="2" width="9.57421875" style="7" customWidth="1"/>
    <col min="3" max="3" width="9.140625" style="7" hidden="1" customWidth="1"/>
    <col min="4" max="4" width="20.7109375" style="7" bestFit="1" customWidth="1"/>
    <col min="5" max="16384" width="9.140625" style="7" customWidth="1"/>
  </cols>
  <sheetData>
    <row r="1" spans="1:114" ht="12.75">
      <c r="A1" s="69" t="s">
        <v>267</v>
      </c>
      <c r="B1" s="2"/>
      <c r="C1" s="3"/>
      <c r="D1" s="13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</row>
    <row r="2" spans="1:114" ht="12.75">
      <c r="A2" s="8" t="s">
        <v>336</v>
      </c>
      <c r="B2" s="9"/>
      <c r="C2" s="10"/>
      <c r="D2" s="13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</row>
    <row r="3" spans="1:114" ht="12.75">
      <c r="A3" s="138" t="s">
        <v>218</v>
      </c>
      <c r="B3" s="198">
        <v>0</v>
      </c>
      <c r="C3" s="139"/>
      <c r="D3" s="19" t="s">
        <v>2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</row>
    <row r="4" spans="1:114" ht="12.75">
      <c r="A4" s="140" t="s">
        <v>265</v>
      </c>
      <c r="B4" s="198">
        <v>0</v>
      </c>
      <c r="C4" s="139"/>
      <c r="D4" s="19" t="s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</row>
    <row r="5" spans="1:114" ht="12.75">
      <c r="A5" s="141" t="s">
        <v>219</v>
      </c>
      <c r="B5" s="26">
        <f>IF(A16=2,((B3/B4)*70.9),0)</f>
        <v>0</v>
      </c>
      <c r="C5" s="139"/>
      <c r="D5" s="26" t="s">
        <v>10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</row>
    <row r="6" spans="1:114" ht="12.75" hidden="1">
      <c r="A6" s="142"/>
      <c r="B6" s="9"/>
      <c r="C6" s="143"/>
      <c r="D6" s="13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</row>
    <row r="7" spans="1:114" ht="12.75" hidden="1">
      <c r="A7" s="138" t="s">
        <v>220</v>
      </c>
      <c r="B7" s="198">
        <v>0</v>
      </c>
      <c r="D7" s="13" t="s">
        <v>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</row>
    <row r="8" spans="1:114" ht="12.75" hidden="1">
      <c r="A8" s="140" t="s">
        <v>221</v>
      </c>
      <c r="B8" s="198">
        <v>0</v>
      </c>
      <c r="D8" s="19" t="s">
        <v>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</row>
    <row r="9" spans="1:114" ht="12.75" hidden="1">
      <c r="A9" s="144" t="s">
        <v>222</v>
      </c>
      <c r="B9" s="26">
        <f>IF(B16=2,150*(B7-B8),0)</f>
        <v>0</v>
      </c>
      <c r="D9" s="26" t="s">
        <v>10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</row>
    <row r="10" spans="1:4" s="17" customFormat="1" ht="12.75">
      <c r="A10" s="90"/>
      <c r="D10" s="145" t="s">
        <v>16</v>
      </c>
    </row>
    <row r="11" s="17" customFormat="1" ht="12.75" hidden="1">
      <c r="A11" s="90"/>
    </row>
    <row r="12" s="17" customFormat="1" ht="12.75" hidden="1">
      <c r="A12" s="90"/>
    </row>
    <row r="13" s="17" customFormat="1" ht="12.75" hidden="1">
      <c r="A13" s="90"/>
    </row>
    <row r="14" spans="1:2" s="17" customFormat="1" ht="12.75" hidden="1">
      <c r="A14" s="90">
        <f>IF(B3&gt;0,1,0)</f>
        <v>0</v>
      </c>
      <c r="B14" s="17">
        <f>IF(B7&gt;0,1,0)</f>
        <v>0</v>
      </c>
    </row>
    <row r="15" spans="1:2" s="17" customFormat="1" ht="12.75" hidden="1">
      <c r="A15" s="90">
        <f>IF(B4&gt;0,1,0)</f>
        <v>0</v>
      </c>
      <c r="B15" s="17">
        <f>IF(B8&gt;0,1,0)</f>
        <v>0</v>
      </c>
    </row>
    <row r="16" spans="1:2" s="17" customFormat="1" ht="12.75" hidden="1">
      <c r="A16" s="90">
        <f>SUM(A14:A15)</f>
        <v>0</v>
      </c>
      <c r="B16" s="17">
        <f>SUM(B14:B15)</f>
        <v>0</v>
      </c>
    </row>
    <row r="17" s="17" customFormat="1" ht="12.75" hidden="1">
      <c r="A17" s="90"/>
    </row>
    <row r="18" s="17" customFormat="1" ht="12.75" hidden="1">
      <c r="A18" s="90"/>
    </row>
    <row r="19" s="17" customFormat="1" ht="12.75" hidden="1">
      <c r="A19" s="90"/>
    </row>
    <row r="20" s="17" customFormat="1" ht="12.75" hidden="1">
      <c r="A20" s="90"/>
    </row>
    <row r="21" s="17" customFormat="1" ht="12.75">
      <c r="A21" s="90"/>
    </row>
    <row r="22" s="17" customFormat="1" ht="12.75">
      <c r="A22" s="90"/>
    </row>
    <row r="23" s="17" customFormat="1" ht="12.75">
      <c r="A23" s="90"/>
    </row>
    <row r="24" s="17" customFormat="1" ht="12.75">
      <c r="A24" s="90"/>
    </row>
    <row r="25" s="17" customFormat="1" ht="12.75">
      <c r="A25" s="90"/>
    </row>
    <row r="26" s="17" customFormat="1" ht="12.75">
      <c r="A26" s="90"/>
    </row>
    <row r="27" s="17" customFormat="1" ht="12.75">
      <c r="A27" s="90"/>
    </row>
    <row r="28" s="17" customFormat="1" ht="12.75">
      <c r="A28" s="90"/>
    </row>
    <row r="29" s="17" customFormat="1" ht="12.75">
      <c r="A29" s="90"/>
    </row>
    <row r="30" s="17" customFormat="1" ht="12.75">
      <c r="A30" s="90"/>
    </row>
    <row r="31" s="17" customFormat="1" ht="12.75">
      <c r="A31" s="90"/>
    </row>
    <row r="32" s="17" customFormat="1" ht="12.75">
      <c r="A32" s="90"/>
    </row>
    <row r="33" s="17" customFormat="1" ht="12.75">
      <c r="A33" s="90"/>
    </row>
    <row r="34" s="17" customFormat="1" ht="12.75">
      <c r="A34" s="90"/>
    </row>
    <row r="35" s="17" customFormat="1" ht="12.75">
      <c r="A35" s="90"/>
    </row>
    <row r="36" s="17" customFormat="1" ht="12.75">
      <c r="A36" s="90"/>
    </row>
    <row r="37" s="17" customFormat="1" ht="12.75">
      <c r="A37" s="90"/>
    </row>
    <row r="38" s="17" customFormat="1" ht="12.75">
      <c r="A38" s="90"/>
    </row>
    <row r="39" s="17" customFormat="1" ht="12.75">
      <c r="A39" s="90"/>
    </row>
    <row r="40" s="17" customFormat="1" ht="12.75">
      <c r="A40" s="90"/>
    </row>
    <row r="41" s="17" customFormat="1" ht="12.75">
      <c r="A41" s="90"/>
    </row>
    <row r="42" s="17" customFormat="1" ht="12.75">
      <c r="A42" s="90"/>
    </row>
    <row r="43" s="17" customFormat="1" ht="12.75">
      <c r="A43" s="90"/>
    </row>
    <row r="44" s="17" customFormat="1" ht="12.75">
      <c r="A44" s="90"/>
    </row>
    <row r="45" s="17" customFormat="1" ht="12.75">
      <c r="A45" s="90"/>
    </row>
    <row r="46" s="17" customFormat="1" ht="12.75">
      <c r="A46" s="90"/>
    </row>
    <row r="47" s="17" customFormat="1" ht="12.75">
      <c r="A47" s="90"/>
    </row>
    <row r="48" s="17" customFormat="1" ht="12.75">
      <c r="A48" s="90"/>
    </row>
    <row r="49" s="17" customFormat="1" ht="12.75">
      <c r="A49" s="90"/>
    </row>
    <row r="50" s="17" customFormat="1" ht="12.75">
      <c r="A50" s="90"/>
    </row>
    <row r="51" s="17" customFormat="1" ht="12.75">
      <c r="A51" s="90"/>
    </row>
    <row r="52" s="17" customFormat="1" ht="12.75">
      <c r="A52" s="90"/>
    </row>
    <row r="53" s="17" customFormat="1" ht="12.75">
      <c r="A53" s="90"/>
    </row>
    <row r="54" s="17" customFormat="1" ht="12.75">
      <c r="A54" s="90"/>
    </row>
    <row r="55" s="17" customFormat="1" ht="12.75">
      <c r="A55" s="90"/>
    </row>
    <row r="56" s="17" customFormat="1" ht="12.75">
      <c r="A56" s="90"/>
    </row>
    <row r="57" s="17" customFormat="1" ht="12.75">
      <c r="A57" s="90"/>
    </row>
    <row r="58" s="17" customFormat="1" ht="12.75">
      <c r="A58" s="90"/>
    </row>
    <row r="59" s="17" customFormat="1" ht="12.75">
      <c r="A59" s="90"/>
    </row>
    <row r="60" s="17" customFormat="1" ht="12.75">
      <c r="A60" s="90"/>
    </row>
    <row r="61" s="17" customFormat="1" ht="12.75">
      <c r="A61" s="90"/>
    </row>
    <row r="62" s="17" customFormat="1" ht="12.75">
      <c r="A62" s="90"/>
    </row>
    <row r="63" s="17" customFormat="1" ht="12.75">
      <c r="A63" s="90"/>
    </row>
    <row r="64" s="17" customFormat="1" ht="12.75">
      <c r="A64" s="90"/>
    </row>
  </sheetData>
  <sheetProtection password="8AD1" sheet="1" objects="1" scenarios="1"/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7"/>
  <sheetViews>
    <sheetView workbookViewId="0" topLeftCell="A1">
      <selection activeCell="A2" sqref="A2"/>
    </sheetView>
  </sheetViews>
  <sheetFormatPr defaultColWidth="9.140625" defaultRowHeight="12.75"/>
  <cols>
    <col min="1" max="1" width="13.7109375" style="101" customWidth="1"/>
    <col min="2" max="2" width="10.00390625" style="88" bestFit="1" customWidth="1"/>
    <col min="3" max="3" width="20.7109375" style="88" bestFit="1" customWidth="1"/>
    <col min="4" max="16384" width="9.140625" style="88" customWidth="1"/>
  </cols>
  <sheetData>
    <row r="1" spans="1:26" ht="12.75">
      <c r="A1" s="69" t="s">
        <v>224</v>
      </c>
      <c r="B1" s="59"/>
      <c r="C1" s="71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12.75">
      <c r="A2" s="8" t="s">
        <v>336</v>
      </c>
      <c r="B2" s="128"/>
      <c r="C2" s="7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2.75">
      <c r="A3" s="150" t="s">
        <v>225</v>
      </c>
      <c r="B3" s="190">
        <v>0</v>
      </c>
      <c r="C3" s="19" t="s">
        <v>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2.75">
      <c r="A4" s="151" t="s">
        <v>223</v>
      </c>
      <c r="B4" s="190">
        <v>0</v>
      </c>
      <c r="C4" s="19" t="s">
        <v>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2.75">
      <c r="A5" s="152" t="s">
        <v>226</v>
      </c>
      <c r="B5" s="190">
        <v>0</v>
      </c>
      <c r="C5" s="19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2.75">
      <c r="A6" s="153" t="s">
        <v>227</v>
      </c>
      <c r="B6" s="154" t="str">
        <f>IF(B15&lt;2,"------",B21)</f>
        <v>------</v>
      </c>
      <c r="C6" s="26" t="s">
        <v>10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2.75">
      <c r="A7" s="155" t="s">
        <v>227</v>
      </c>
      <c r="B7" s="154" t="str">
        <f>IF(B15&lt;2,"------",B22)</f>
        <v>------</v>
      </c>
      <c r="C7" s="26" t="s">
        <v>10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2.75">
      <c r="A8" s="66"/>
      <c r="B8" s="34"/>
      <c r="C8" s="30" t="s">
        <v>16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4:26" ht="12.75" hidden="1"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12.75" hidden="1">
      <c r="A10" s="101" t="s">
        <v>228</v>
      </c>
      <c r="B10" s="88">
        <f>B3/2.14</f>
        <v>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4:26" ht="12.75" hidden="1"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4:26" ht="12.75" hidden="1"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 ht="12.75" hidden="1">
      <c r="A13" s="101" t="s">
        <v>229</v>
      </c>
      <c r="B13" s="88">
        <f>IF(B3=0,0,1)</f>
        <v>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 ht="12.75" hidden="1">
      <c r="A14" s="101" t="s">
        <v>230</v>
      </c>
      <c r="B14" s="88">
        <f>IF(B4=0,0,1)</f>
        <v>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2.75" hidden="1">
      <c r="A15" s="101" t="s">
        <v>108</v>
      </c>
      <c r="B15" s="88">
        <f>SUM(B13:B14)</f>
        <v>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4:26" ht="12.75" hidden="1"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4:26" ht="12.75" hidden="1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ht="12.75" hidden="1">
      <c r="A18" s="101" t="s">
        <v>226</v>
      </c>
      <c r="B18" s="88">
        <f>IF(B5&lt;5,0,B5-5)</f>
        <v>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12.75" hidden="1">
      <c r="A19" s="101" t="s">
        <v>231</v>
      </c>
      <c r="B19" s="88">
        <f>(30*B4)/1000</f>
        <v>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4:26" ht="12.75" hidden="1"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2.75" hidden="1">
      <c r="A21" s="101" t="s">
        <v>232</v>
      </c>
      <c r="B21" s="88">
        <f>(6.25*(B10+B19))+B18</f>
        <v>0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2.75" hidden="1">
      <c r="A22" s="101" t="s">
        <v>232</v>
      </c>
      <c r="B22" s="88" t="e">
        <f>B6/B4</f>
        <v>#VALUE!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2.75">
      <c r="A23" s="66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2.75">
      <c r="A24" s="66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2.75">
      <c r="A25" s="156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2.75">
      <c r="A26" s="66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2.75">
      <c r="A27" s="66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2.75">
      <c r="A28" s="66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2.75">
      <c r="A29" s="66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2.75">
      <c r="A30" s="66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2.75">
      <c r="A31" s="66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2.75">
      <c r="A32" s="66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2.75">
      <c r="A33" s="66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2.75">
      <c r="A34" s="66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2.75">
      <c r="A35" s="66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2.75">
      <c r="A36" s="66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2.75">
      <c r="A37" s="66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2.75">
      <c r="A38" s="66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2.75">
      <c r="A39" s="66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2.75">
      <c r="A40" s="6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2.75">
      <c r="A41" s="66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2.75">
      <c r="A42" s="66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2.75">
      <c r="A43" s="66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2.75">
      <c r="A44" s="66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2.75">
      <c r="A45" s="66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2.75">
      <c r="A46" s="66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2.75">
      <c r="A47" s="66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2.75">
      <c r="A48" s="66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2.75">
      <c r="A49" s="66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2.75">
      <c r="A50" s="66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2.75">
      <c r="A51" s="66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2.75">
      <c r="A52" s="66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2.75">
      <c r="A53" s="66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2.75">
      <c r="A54" s="66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2.75">
      <c r="A55" s="66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2.75">
      <c r="A56" s="66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2.75">
      <c r="A57" s="66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2.75">
      <c r="A58" s="66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2.75">
      <c r="A59" s="66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2.75">
      <c r="A60" s="66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2.75">
      <c r="A61" s="66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2.75">
      <c r="A62" s="66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2.75">
      <c r="A63" s="66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2.75">
      <c r="A64" s="66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2.75">
      <c r="A65" s="66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2.75">
      <c r="A66" s="66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2.75">
      <c r="A67" s="66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2.75">
      <c r="A68" s="66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2.75">
      <c r="A69" s="66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2.75">
      <c r="A70" s="66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2.75">
      <c r="A71" s="66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2.75">
      <c r="A72" s="66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2.75">
      <c r="A73" s="66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2.75">
      <c r="A74" s="66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2.75">
      <c r="A75" s="66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2.75">
      <c r="A76" s="66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2.75">
      <c r="A77" s="66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2.75">
      <c r="A78" s="66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2.75">
      <c r="A79" s="66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2.75">
      <c r="A80" s="66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2.75">
      <c r="A81" s="66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2.75">
      <c r="A82" s="66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2.75">
      <c r="A83" s="66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2.75">
      <c r="A84" s="66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2.75">
      <c r="A85" s="66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2.75">
      <c r="A86" s="66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2.75">
      <c r="A87" s="66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2.75">
      <c r="A88" s="66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2.75">
      <c r="A89" s="66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2.75">
      <c r="A90" s="66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2.75">
      <c r="A91" s="66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2.75">
      <c r="A92" s="66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2.75">
      <c r="A93" s="66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2.75">
      <c r="A94" s="66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2.75">
      <c r="A95" s="66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4" ht="12.75">
      <c r="A96" s="66"/>
      <c r="B96" s="34"/>
      <c r="C96" s="34"/>
      <c r="D96" s="34"/>
    </row>
    <row r="97" ht="12.75">
      <c r="A97" s="66"/>
    </row>
  </sheetData>
  <sheetProtection password="8AD1" sheet="1" objects="1" scenarios="1"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55"/>
  <sheetViews>
    <sheetView workbookViewId="0" topLeftCell="A1">
      <selection activeCell="C5" sqref="C5"/>
    </sheetView>
  </sheetViews>
  <sheetFormatPr defaultColWidth="9.140625" defaultRowHeight="12.75"/>
  <cols>
    <col min="1" max="1" width="18.28125" style="88" customWidth="1"/>
    <col min="2" max="2" width="9.7109375" style="88" customWidth="1"/>
    <col min="3" max="3" width="20.7109375" style="88" customWidth="1"/>
    <col min="4" max="4" width="10.28125" style="88" customWidth="1"/>
    <col min="5" max="5" width="9.7109375" style="88" customWidth="1"/>
    <col min="6" max="6" width="13.57421875" style="88" customWidth="1"/>
    <col min="7" max="7" width="11.28125" style="88" customWidth="1"/>
    <col min="8" max="8" width="16.57421875" style="146" bestFit="1" customWidth="1"/>
    <col min="9" max="9" width="9.140625" style="101" customWidth="1"/>
    <col min="10" max="16384" width="9.140625" style="7" customWidth="1"/>
  </cols>
  <sheetData>
    <row r="1" spans="1:27" ht="12.75">
      <c r="A1" s="69" t="s">
        <v>268</v>
      </c>
      <c r="B1" s="59"/>
      <c r="C1" s="71"/>
      <c r="D1" s="54"/>
      <c r="E1" s="34"/>
      <c r="F1" s="34"/>
      <c r="G1" s="34"/>
      <c r="H1" s="90"/>
      <c r="I1" s="66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12.75">
      <c r="A2" s="8" t="s">
        <v>336</v>
      </c>
      <c r="B2" s="128"/>
      <c r="C2" s="72"/>
      <c r="D2" s="54"/>
      <c r="E2" s="34"/>
      <c r="F2" s="34"/>
      <c r="G2" s="34"/>
      <c r="H2" s="90"/>
      <c r="I2" s="6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2.75">
      <c r="A3" s="157" t="s">
        <v>233</v>
      </c>
      <c r="B3" s="201">
        <v>0</v>
      </c>
      <c r="C3" s="19" t="s">
        <v>2</v>
      </c>
      <c r="D3" s="34"/>
      <c r="E3" s="54"/>
      <c r="F3" s="54"/>
      <c r="G3" s="34"/>
      <c r="H3" s="90"/>
      <c r="I3" s="6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2.75">
      <c r="A4" s="158" t="s">
        <v>269</v>
      </c>
      <c r="B4" s="201">
        <v>0</v>
      </c>
      <c r="C4" s="19" t="s">
        <v>2</v>
      </c>
      <c r="D4" s="54"/>
      <c r="E4" s="54"/>
      <c r="F4" s="54"/>
      <c r="G4" s="34"/>
      <c r="H4" s="90"/>
      <c r="I4" s="6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2.75">
      <c r="A5" s="158" t="s">
        <v>270</v>
      </c>
      <c r="B5" s="201">
        <v>0</v>
      </c>
      <c r="C5" s="19" t="s">
        <v>2</v>
      </c>
      <c r="D5" s="54"/>
      <c r="E5" s="54"/>
      <c r="F5" s="54"/>
      <c r="G5" s="34"/>
      <c r="H5" s="90"/>
      <c r="I5" s="6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2.75">
      <c r="A6" s="158" t="s">
        <v>271</v>
      </c>
      <c r="B6" s="201">
        <v>0</v>
      </c>
      <c r="C6" s="19" t="s">
        <v>2</v>
      </c>
      <c r="D6" s="54"/>
      <c r="E6" s="54"/>
      <c r="F6" s="54"/>
      <c r="G6" s="34"/>
      <c r="H6" s="90"/>
      <c r="I6" s="6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2.75">
      <c r="A7" s="202" t="s">
        <v>272</v>
      </c>
      <c r="B7" s="201">
        <v>0</v>
      </c>
      <c r="C7" s="23" t="s">
        <v>79</v>
      </c>
      <c r="D7" s="54"/>
      <c r="E7" s="54"/>
      <c r="F7" s="54"/>
      <c r="G7" s="34"/>
      <c r="H7" s="90"/>
      <c r="I7" s="6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2.75">
      <c r="A8" s="203" t="s">
        <v>273</v>
      </c>
      <c r="B8" s="204">
        <f>IF(B44&lt;4,0,B29)</f>
        <v>0</v>
      </c>
      <c r="C8" s="26" t="s">
        <v>10</v>
      </c>
      <c r="D8" s="159"/>
      <c r="E8" s="54"/>
      <c r="F8" s="54"/>
      <c r="G8" s="34"/>
      <c r="H8" s="90"/>
      <c r="I8" s="6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12.75">
      <c r="A9" s="203" t="s">
        <v>234</v>
      </c>
      <c r="B9" s="26">
        <f>IF(B43&lt;2,0,B30)</f>
        <v>0</v>
      </c>
      <c r="C9" s="26" t="s">
        <v>10</v>
      </c>
      <c r="D9" s="54"/>
      <c r="E9" s="54"/>
      <c r="F9" s="54"/>
      <c r="G9" s="34"/>
      <c r="H9" s="90"/>
      <c r="I9" s="6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2.75">
      <c r="A10" s="205" t="s">
        <v>235</v>
      </c>
      <c r="B10" s="26">
        <f>IF(B45&lt;3,0,B33)</f>
        <v>0</v>
      </c>
      <c r="C10" s="26" t="s">
        <v>10</v>
      </c>
      <c r="D10" s="54"/>
      <c r="E10" s="54"/>
      <c r="F10" s="54"/>
      <c r="G10" s="34"/>
      <c r="H10" s="90"/>
      <c r="I10" s="6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6" ht="12.75">
      <c r="A11" s="34"/>
      <c r="B11" s="34"/>
      <c r="C11" s="30" t="s">
        <v>16</v>
      </c>
      <c r="D11" s="54"/>
      <c r="E11" s="54"/>
      <c r="F11" s="54"/>
      <c r="G11" s="34"/>
      <c r="H11" s="90"/>
      <c r="I11" s="6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2.75">
      <c r="A12" s="34"/>
      <c r="B12" s="34"/>
      <c r="C12" s="68"/>
      <c r="D12" s="54"/>
      <c r="E12" s="54"/>
      <c r="F12" s="54"/>
      <c r="G12" s="34"/>
      <c r="H12" s="90"/>
      <c r="I12" s="6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2.75">
      <c r="A13" s="34"/>
      <c r="B13" s="34"/>
      <c r="C13" s="68"/>
      <c r="D13" s="54"/>
      <c r="E13" s="54"/>
      <c r="F13" s="54"/>
      <c r="G13" s="34"/>
      <c r="H13" s="90"/>
      <c r="I13" s="6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2.75">
      <c r="A14" s="34"/>
      <c r="B14" s="34"/>
      <c r="C14" s="54"/>
      <c r="D14" s="54"/>
      <c r="E14" s="54"/>
      <c r="F14" s="54"/>
      <c r="G14" s="34"/>
      <c r="H14" s="90"/>
      <c r="I14" s="6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2:26" ht="12.75" hidden="1">
      <c r="B15" s="34"/>
      <c r="C15" s="54"/>
      <c r="D15" s="54"/>
      <c r="E15" s="54"/>
      <c r="F15" s="54"/>
      <c r="G15" s="34"/>
      <c r="H15" s="90"/>
      <c r="I15" s="6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2.75" hidden="1">
      <c r="A16" s="34" t="s">
        <v>274</v>
      </c>
      <c r="B16" s="34">
        <f>B7/60</f>
        <v>0</v>
      </c>
      <c r="C16" s="54"/>
      <c r="D16" s="54"/>
      <c r="E16" s="54"/>
      <c r="F16" s="54"/>
      <c r="G16" s="34"/>
      <c r="H16" s="90"/>
      <c r="I16" s="6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2.75" hidden="1">
      <c r="A17" s="160" t="s">
        <v>236</v>
      </c>
      <c r="B17" s="206">
        <f>(B3/2.14)</f>
        <v>0</v>
      </c>
      <c r="C17" s="207" t="s">
        <v>237</v>
      </c>
      <c r="D17" s="54"/>
      <c r="E17" s="54"/>
      <c r="F17" s="54"/>
      <c r="G17" s="34"/>
      <c r="H17" s="90"/>
      <c r="I17" s="66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.75" hidden="1">
      <c r="A18" s="161" t="s">
        <v>275</v>
      </c>
      <c r="B18" s="208">
        <f>B4/2.14</f>
        <v>0</v>
      </c>
      <c r="C18" s="159"/>
      <c r="D18" s="54"/>
      <c r="E18" s="54"/>
      <c r="F18" s="54"/>
      <c r="G18" s="34"/>
      <c r="H18" s="90"/>
      <c r="I18" s="66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2.75" hidden="1">
      <c r="A19" s="162" t="s">
        <v>276</v>
      </c>
      <c r="B19" s="72" t="e">
        <f>B18/B17</f>
        <v>#DIV/0!</v>
      </c>
      <c r="C19" s="199"/>
      <c r="D19" s="54"/>
      <c r="E19" s="54"/>
      <c r="F19" s="54"/>
      <c r="G19" s="34"/>
      <c r="H19" s="90"/>
      <c r="I19" s="6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2.75" hidden="1">
      <c r="A20" s="163"/>
      <c r="B20" s="164"/>
      <c r="C20" s="54"/>
      <c r="D20" s="54"/>
      <c r="E20" s="54"/>
      <c r="F20" s="54"/>
      <c r="G20" s="34"/>
      <c r="H20" s="90"/>
      <c r="I20" s="66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2.75" hidden="1">
      <c r="A21" s="209" t="s">
        <v>277</v>
      </c>
      <c r="B21" s="210" t="e">
        <f>-LN(B19-0.03)</f>
        <v>#DIV/0!</v>
      </c>
      <c r="C21" s="148" t="s">
        <v>278</v>
      </c>
      <c r="D21" s="71"/>
      <c r="E21" s="147" t="s">
        <v>279</v>
      </c>
      <c r="F21" s="54"/>
      <c r="G21" s="34"/>
      <c r="H21" s="90"/>
      <c r="I21" s="66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2.75" hidden="1">
      <c r="A22" s="161" t="s">
        <v>280</v>
      </c>
      <c r="B22" s="54" t="e">
        <f>4-(3.5*B19)</f>
        <v>#DIV/0!</v>
      </c>
      <c r="C22" s="147" t="s">
        <v>281</v>
      </c>
      <c r="D22" s="165"/>
      <c r="E22" s="5"/>
      <c r="F22" s="54"/>
      <c r="G22" s="34"/>
      <c r="H22" s="90"/>
      <c r="I22" s="66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 hidden="1">
      <c r="A23" s="161" t="s">
        <v>282</v>
      </c>
      <c r="B23" s="54" t="e">
        <f>B5/B6</f>
        <v>#DIV/0!</v>
      </c>
      <c r="C23" s="147" t="s">
        <v>281</v>
      </c>
      <c r="D23" s="165"/>
      <c r="E23" s="54"/>
      <c r="F23" s="54"/>
      <c r="G23" s="34"/>
      <c r="H23" s="90"/>
      <c r="I23" s="66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2.75" hidden="1">
      <c r="A24" s="211" t="s">
        <v>283</v>
      </c>
      <c r="B24" s="128" t="e">
        <f>-LN(B19-(0.008*B16))</f>
        <v>#DIV/0!</v>
      </c>
      <c r="C24" s="149" t="s">
        <v>284</v>
      </c>
      <c r="D24" s="72"/>
      <c r="E24" s="54"/>
      <c r="F24" s="54"/>
      <c r="G24" s="34"/>
      <c r="H24" s="90"/>
      <c r="I24" s="66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hidden="1">
      <c r="A25" s="163"/>
      <c r="B25" s="212"/>
      <c r="C25" s="34"/>
      <c r="D25" s="34"/>
      <c r="E25" s="34"/>
      <c r="F25" s="34"/>
      <c r="G25" s="34"/>
      <c r="H25" s="90"/>
      <c r="I25" s="6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hidden="1">
      <c r="A26" s="163"/>
      <c r="B26" s="213"/>
      <c r="C26" s="147"/>
      <c r="D26" s="34"/>
      <c r="E26" s="34"/>
      <c r="F26" s="34"/>
      <c r="G26" s="34"/>
      <c r="H26" s="90"/>
      <c r="I26" s="66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2.75" hidden="1">
      <c r="A27" s="214" t="s">
        <v>285</v>
      </c>
      <c r="B27" s="215" t="e">
        <f>B21+B22*B23</f>
        <v>#DIV/0!</v>
      </c>
      <c r="C27" s="66" t="s">
        <v>286</v>
      </c>
      <c r="D27" s="34"/>
      <c r="E27" s="34"/>
      <c r="F27" s="34"/>
      <c r="G27" s="34"/>
      <c r="H27" s="90"/>
      <c r="I27" s="6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2.75" hidden="1">
      <c r="A28" s="216" t="s">
        <v>287</v>
      </c>
      <c r="B28" s="217" t="e">
        <f>B24+B22*B23</f>
        <v>#DIV/0!</v>
      </c>
      <c r="C28" s="66"/>
      <c r="D28" s="34"/>
      <c r="E28" s="34"/>
      <c r="F28" s="34"/>
      <c r="G28" s="34"/>
      <c r="H28" s="90"/>
      <c r="I28" s="6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2.75" hidden="1">
      <c r="A29" s="216" t="s">
        <v>288</v>
      </c>
      <c r="B29" s="217" t="e">
        <f>IF(B7&lt;1,B27,B28)</f>
        <v>#DIV/0!</v>
      </c>
      <c r="C29" s="66"/>
      <c r="D29" s="34"/>
      <c r="E29" s="34"/>
      <c r="F29" s="34"/>
      <c r="G29" s="34"/>
      <c r="H29" s="90"/>
      <c r="I29" s="6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hidden="1">
      <c r="A30" s="218" t="s">
        <v>238</v>
      </c>
      <c r="B30" s="219" t="e">
        <f>(1-(B18/B17))*100</f>
        <v>#DIV/0!</v>
      </c>
      <c r="C30" s="156"/>
      <c r="D30" s="34"/>
      <c r="E30" s="34"/>
      <c r="F30" s="54"/>
      <c r="G30" s="54"/>
      <c r="H30" s="166"/>
      <c r="I30" s="147"/>
      <c r="J30" s="61"/>
      <c r="K30" s="61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 hidden="1">
      <c r="A31" s="220"/>
      <c r="B31" s="220"/>
      <c r="C31" s="66"/>
      <c r="D31" s="34"/>
      <c r="E31" s="34"/>
      <c r="F31" s="54"/>
      <c r="G31" s="54"/>
      <c r="H31" s="166"/>
      <c r="I31" s="147"/>
      <c r="J31" s="61"/>
      <c r="K31" s="61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2.75" hidden="1">
      <c r="A32" s="34"/>
      <c r="B32" s="34"/>
      <c r="C32" s="66"/>
      <c r="D32" s="34"/>
      <c r="E32" s="34"/>
      <c r="F32" s="54"/>
      <c r="G32" s="54"/>
      <c r="H32" s="166"/>
      <c r="I32" s="147"/>
      <c r="J32" s="61"/>
      <c r="K32" s="61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 hidden="1">
      <c r="A33" s="160" t="s">
        <v>289</v>
      </c>
      <c r="B33" s="71">
        <f>(B34*B35)+0.251</f>
        <v>0.251</v>
      </c>
      <c r="C33" s="66" t="s">
        <v>239</v>
      </c>
      <c r="D33" s="34"/>
      <c r="E33" s="34"/>
      <c r="F33" s="54"/>
      <c r="G33" s="54"/>
      <c r="H33" s="166"/>
      <c r="I33" s="147"/>
      <c r="J33" s="61"/>
      <c r="K33" s="61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 hidden="1">
      <c r="A34" s="161" t="s">
        <v>240</v>
      </c>
      <c r="B34" s="165">
        <f>0.0136*B8</f>
        <v>0</v>
      </c>
      <c r="C34" s="34"/>
      <c r="D34" s="34"/>
      <c r="E34" s="34"/>
      <c r="F34" s="54"/>
      <c r="G34" s="54"/>
      <c r="H34" s="166"/>
      <c r="I34" s="147"/>
      <c r="J34" s="61"/>
      <c r="K34" s="61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hidden="1">
      <c r="A35" s="162" t="s">
        <v>241</v>
      </c>
      <c r="B35" s="72">
        <f>(B17+B18)/2</f>
        <v>0</v>
      </c>
      <c r="C35" s="34"/>
      <c r="D35" s="34"/>
      <c r="E35" s="34"/>
      <c r="F35" s="54"/>
      <c r="G35" s="54"/>
      <c r="H35" s="166"/>
      <c r="I35" s="147"/>
      <c r="J35" s="61"/>
      <c r="K35" s="61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 hidden="1">
      <c r="A36" s="34"/>
      <c r="B36" s="39"/>
      <c r="C36" s="34"/>
      <c r="D36" s="34"/>
      <c r="E36" s="34"/>
      <c r="F36" s="54"/>
      <c r="G36" s="54"/>
      <c r="H36" s="166"/>
      <c r="I36" s="147"/>
      <c r="J36" s="61"/>
      <c r="K36" s="61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 hidden="1">
      <c r="A37" s="167" t="s">
        <v>242</v>
      </c>
      <c r="B37" s="71">
        <f>IF(B8&gt;0,1,0)</f>
        <v>0</v>
      </c>
      <c r="C37" s="66" t="s">
        <v>181</v>
      </c>
      <c r="D37" s="34"/>
      <c r="E37" s="34"/>
      <c r="F37" s="54"/>
      <c r="G37" s="54"/>
      <c r="H37" s="166"/>
      <c r="I37" s="147"/>
      <c r="J37" s="61"/>
      <c r="K37" s="61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 hidden="1">
      <c r="A38" s="221" t="s">
        <v>233</v>
      </c>
      <c r="B38" s="165">
        <f>IF(B3&gt;0,1,0)</f>
        <v>0</v>
      </c>
      <c r="C38" s="34"/>
      <c r="D38" s="34"/>
      <c r="E38" s="34"/>
      <c r="F38" s="54"/>
      <c r="G38" s="54"/>
      <c r="H38" s="166"/>
      <c r="I38" s="147"/>
      <c r="J38" s="61"/>
      <c r="K38" s="61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2.75" hidden="1">
      <c r="A39" s="221" t="s">
        <v>269</v>
      </c>
      <c r="B39" s="165">
        <f>IF(B4&gt;0,1,0)</f>
        <v>0</v>
      </c>
      <c r="C39" s="34"/>
      <c r="D39" s="34"/>
      <c r="E39" s="34"/>
      <c r="F39" s="54"/>
      <c r="G39" s="54"/>
      <c r="H39" s="166"/>
      <c r="I39" s="147"/>
      <c r="J39" s="61"/>
      <c r="K39" s="61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2.75" hidden="1">
      <c r="A40" s="221" t="s">
        <v>270</v>
      </c>
      <c r="B40" s="165">
        <f>IF(B5&gt;0,1,0)</f>
        <v>0</v>
      </c>
      <c r="C40" s="34"/>
      <c r="D40" s="34"/>
      <c r="E40" s="34"/>
      <c r="F40" s="54"/>
      <c r="G40" s="54"/>
      <c r="H40" s="168"/>
      <c r="I40" s="147"/>
      <c r="J40" s="61"/>
      <c r="K40" s="61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 hidden="1">
      <c r="A41" s="221" t="s">
        <v>290</v>
      </c>
      <c r="B41" s="165">
        <f>IF(B6&gt;0,1,0)</f>
        <v>0</v>
      </c>
      <c r="C41" s="34"/>
      <c r="D41" s="34"/>
      <c r="E41" s="34"/>
      <c r="F41" s="54"/>
      <c r="G41" s="54"/>
      <c r="H41" s="168"/>
      <c r="I41" s="147"/>
      <c r="J41" s="61"/>
      <c r="K41" s="61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 hidden="1">
      <c r="A42" s="169" t="s">
        <v>291</v>
      </c>
      <c r="B42" s="72">
        <f>IF(B7&gt;0,1,0)</f>
        <v>0</v>
      </c>
      <c r="C42" s="54"/>
      <c r="D42" s="54"/>
      <c r="E42" s="34"/>
      <c r="F42" s="54"/>
      <c r="G42" s="54"/>
      <c r="H42" s="166"/>
      <c r="I42" s="147"/>
      <c r="J42" s="61"/>
      <c r="K42" s="61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hidden="1">
      <c r="A43" s="170" t="s">
        <v>292</v>
      </c>
      <c r="B43" s="165">
        <f>SUM(B38:B39)</f>
        <v>0</v>
      </c>
      <c r="C43" s="54"/>
      <c r="D43" s="54"/>
      <c r="E43" s="34"/>
      <c r="F43" s="54"/>
      <c r="G43" s="54"/>
      <c r="H43" s="166"/>
      <c r="I43" s="147"/>
      <c r="J43" s="61"/>
      <c r="K43" s="61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hidden="1">
      <c r="A44" s="170" t="s">
        <v>293</v>
      </c>
      <c r="B44" s="165">
        <f>SUM(B38:B41)</f>
        <v>0</v>
      </c>
      <c r="C44" s="54"/>
      <c r="D44" s="54"/>
      <c r="E44" s="34"/>
      <c r="F44" s="54"/>
      <c r="G44" s="54"/>
      <c r="H44" s="166"/>
      <c r="I44" s="147"/>
      <c r="J44" s="61"/>
      <c r="K44" s="61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2.75" hidden="1">
      <c r="A45" s="170" t="s">
        <v>294</v>
      </c>
      <c r="B45" s="165">
        <f>B37+B38+B39</f>
        <v>0</v>
      </c>
      <c r="C45" s="54"/>
      <c r="D45" s="54"/>
      <c r="E45" s="34"/>
      <c r="F45" s="54"/>
      <c r="G45" s="54"/>
      <c r="H45" s="166"/>
      <c r="I45" s="147"/>
      <c r="J45" s="61"/>
      <c r="K45" s="61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2.75" hidden="1">
      <c r="A46" s="170"/>
      <c r="B46" s="165"/>
      <c r="C46" s="54"/>
      <c r="D46" s="54"/>
      <c r="E46" s="34"/>
      <c r="F46" s="54"/>
      <c r="G46" s="54"/>
      <c r="H46" s="166"/>
      <c r="I46" s="147"/>
      <c r="J46" s="61"/>
      <c r="K46" s="61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2.75" hidden="1">
      <c r="A47" s="169"/>
      <c r="B47" s="72"/>
      <c r="C47" s="54"/>
      <c r="D47" s="54"/>
      <c r="E47" s="34"/>
      <c r="F47" s="54"/>
      <c r="G47" s="54"/>
      <c r="H47" s="166"/>
      <c r="I47" s="147"/>
      <c r="J47" s="61"/>
      <c r="K47" s="61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 hidden="1">
      <c r="A48" s="54"/>
      <c r="B48" s="54"/>
      <c r="C48" s="54"/>
      <c r="D48" s="54"/>
      <c r="E48" s="34"/>
      <c r="F48" s="54"/>
      <c r="G48" s="54"/>
      <c r="H48" s="166"/>
      <c r="I48" s="147"/>
      <c r="J48" s="61"/>
      <c r="K48" s="61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>
      <c r="A49" s="54"/>
      <c r="B49" s="54"/>
      <c r="C49" s="54"/>
      <c r="D49" s="54"/>
      <c r="E49" s="34"/>
      <c r="F49" s="54"/>
      <c r="G49" s="54"/>
      <c r="H49" s="168"/>
      <c r="I49" s="147"/>
      <c r="J49" s="61"/>
      <c r="K49" s="61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>
      <c r="A50" s="54"/>
      <c r="B50" s="54"/>
      <c r="C50" s="54"/>
      <c r="D50" s="54"/>
      <c r="E50" s="34"/>
      <c r="F50" s="54"/>
      <c r="G50" s="54"/>
      <c r="H50" s="168"/>
      <c r="I50" s="147"/>
      <c r="J50" s="61"/>
      <c r="K50" s="61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2.75">
      <c r="A51" s="54"/>
      <c r="B51" s="54"/>
      <c r="C51" s="54"/>
      <c r="D51" s="54"/>
      <c r="E51" s="34"/>
      <c r="F51" s="54"/>
      <c r="G51" s="54"/>
      <c r="H51" s="168"/>
      <c r="I51" s="147"/>
      <c r="J51" s="61"/>
      <c r="K51" s="61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2.75">
      <c r="A52" s="54"/>
      <c r="B52" s="54"/>
      <c r="C52" s="54"/>
      <c r="D52" s="54"/>
      <c r="E52" s="34"/>
      <c r="F52" s="54"/>
      <c r="G52" s="54"/>
      <c r="H52" s="168"/>
      <c r="I52" s="147"/>
      <c r="J52" s="61"/>
      <c r="K52" s="61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2.75">
      <c r="A53" s="54"/>
      <c r="B53" s="54"/>
      <c r="C53" s="54"/>
      <c r="D53" s="54"/>
      <c r="E53" s="34"/>
      <c r="F53" s="54"/>
      <c r="G53" s="54"/>
      <c r="H53" s="168"/>
      <c r="I53" s="147"/>
      <c r="J53" s="61"/>
      <c r="K53" s="61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2.75">
      <c r="A54" s="54"/>
      <c r="B54" s="54"/>
      <c r="C54" s="54"/>
      <c r="D54" s="54"/>
      <c r="E54" s="34"/>
      <c r="F54" s="54"/>
      <c r="G54" s="54"/>
      <c r="H54" s="166"/>
      <c r="I54" s="147"/>
      <c r="J54" s="61"/>
      <c r="K54" s="61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2.75">
      <c r="A55" s="54"/>
      <c r="B55" s="54"/>
      <c r="C55" s="54"/>
      <c r="D55" s="54"/>
      <c r="E55" s="34"/>
      <c r="F55" s="54"/>
      <c r="G55" s="54"/>
      <c r="H55" s="166"/>
      <c r="I55" s="147"/>
      <c r="J55" s="61"/>
      <c r="K55" s="61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2.75">
      <c r="A56" s="34"/>
      <c r="B56" s="34"/>
      <c r="C56" s="34"/>
      <c r="D56" s="34"/>
      <c r="E56" s="34"/>
      <c r="F56" s="54"/>
      <c r="G56" s="54"/>
      <c r="H56" s="166"/>
      <c r="I56" s="147"/>
      <c r="J56" s="61"/>
      <c r="K56" s="61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2.75">
      <c r="A57" s="34"/>
      <c r="B57" s="34"/>
      <c r="C57" s="34"/>
      <c r="D57" s="34"/>
      <c r="E57" s="34"/>
      <c r="F57" s="54"/>
      <c r="G57" s="54"/>
      <c r="H57" s="168"/>
      <c r="I57" s="147"/>
      <c r="J57" s="61"/>
      <c r="K57" s="61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2.75">
      <c r="A58" s="34"/>
      <c r="B58" s="34"/>
      <c r="C58" s="34"/>
      <c r="D58" s="34"/>
      <c r="E58" s="34"/>
      <c r="F58" s="54"/>
      <c r="G58" s="54"/>
      <c r="H58" s="166"/>
      <c r="I58" s="147"/>
      <c r="J58" s="61"/>
      <c r="K58" s="61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>
      <c r="A59" s="39"/>
      <c r="B59" s="34"/>
      <c r="C59" s="34"/>
      <c r="D59" s="34"/>
      <c r="E59" s="34"/>
      <c r="F59" s="54"/>
      <c r="G59" s="54"/>
      <c r="H59" s="166"/>
      <c r="I59" s="147"/>
      <c r="J59" s="61"/>
      <c r="K59" s="61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2.75">
      <c r="A60" s="34"/>
      <c r="B60" s="34"/>
      <c r="C60" s="34"/>
      <c r="D60" s="34"/>
      <c r="E60" s="34"/>
      <c r="F60" s="54"/>
      <c r="G60" s="54"/>
      <c r="H60" s="166"/>
      <c r="I60" s="147"/>
      <c r="J60" s="61"/>
      <c r="K60" s="61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2.75">
      <c r="A61" s="34"/>
      <c r="B61" s="34"/>
      <c r="C61" s="34"/>
      <c r="D61" s="34"/>
      <c r="E61" s="34"/>
      <c r="F61" s="54"/>
      <c r="G61" s="54"/>
      <c r="H61" s="166"/>
      <c r="I61" s="147"/>
      <c r="J61" s="61"/>
      <c r="K61" s="61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2.75">
      <c r="A62" s="34"/>
      <c r="B62" s="34"/>
      <c r="C62" s="34"/>
      <c r="D62" s="34"/>
      <c r="E62" s="34"/>
      <c r="F62" s="54"/>
      <c r="G62" s="54"/>
      <c r="H62" s="166"/>
      <c r="I62" s="147"/>
      <c r="J62" s="61"/>
      <c r="K62" s="61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2.75">
      <c r="A63" s="34"/>
      <c r="B63" s="34"/>
      <c r="C63" s="34"/>
      <c r="D63" s="34"/>
      <c r="E63" s="34"/>
      <c r="F63" s="54"/>
      <c r="G63" s="54"/>
      <c r="H63" s="166"/>
      <c r="I63" s="147"/>
      <c r="J63" s="61"/>
      <c r="K63" s="61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>
      <c r="A64" s="34"/>
      <c r="B64" s="34"/>
      <c r="C64" s="34"/>
      <c r="D64" s="34"/>
      <c r="E64" s="34"/>
      <c r="F64" s="54"/>
      <c r="G64" s="54"/>
      <c r="H64" s="166"/>
      <c r="I64" s="147"/>
      <c r="J64" s="61"/>
      <c r="K64" s="61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>
      <c r="A65" s="34"/>
      <c r="B65" s="34"/>
      <c r="C65" s="34"/>
      <c r="D65" s="34"/>
      <c r="E65" s="34"/>
      <c r="F65" s="54"/>
      <c r="G65" s="54"/>
      <c r="H65" s="166"/>
      <c r="I65" s="147"/>
      <c r="J65" s="61"/>
      <c r="K65" s="61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2.75">
      <c r="A66" s="34"/>
      <c r="B66" s="34"/>
      <c r="C66" s="66"/>
      <c r="D66" s="34"/>
      <c r="E66" s="34"/>
      <c r="F66" s="54"/>
      <c r="G66" s="54"/>
      <c r="H66" s="166"/>
      <c r="I66" s="147"/>
      <c r="J66" s="61"/>
      <c r="K66" s="61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2.75">
      <c r="A67" s="34"/>
      <c r="B67" s="34"/>
      <c r="C67" s="34"/>
      <c r="D67" s="34"/>
      <c r="E67" s="34"/>
      <c r="F67" s="54"/>
      <c r="G67" s="54"/>
      <c r="H67" s="166"/>
      <c r="I67" s="147"/>
      <c r="J67" s="61"/>
      <c r="K67" s="61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2.75">
      <c r="A68" s="34"/>
      <c r="B68" s="34"/>
      <c r="C68" s="34"/>
      <c r="D68" s="34"/>
      <c r="E68" s="34"/>
      <c r="F68" s="54"/>
      <c r="G68" s="54"/>
      <c r="H68" s="166"/>
      <c r="I68" s="147"/>
      <c r="J68" s="61"/>
      <c r="K68" s="61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>
      <c r="A69" s="34"/>
      <c r="B69" s="34"/>
      <c r="C69" s="34"/>
      <c r="D69" s="34"/>
      <c r="E69" s="34"/>
      <c r="F69" s="54"/>
      <c r="G69" s="54"/>
      <c r="H69" s="166"/>
      <c r="I69" s="147"/>
      <c r="J69" s="61"/>
      <c r="K69" s="61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2.75">
      <c r="A70" s="34"/>
      <c r="B70" s="34"/>
      <c r="C70" s="34"/>
      <c r="D70" s="34"/>
      <c r="E70" s="34"/>
      <c r="F70" s="54"/>
      <c r="G70" s="54"/>
      <c r="H70" s="166"/>
      <c r="I70" s="147"/>
      <c r="J70" s="61"/>
      <c r="K70" s="61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2.75">
      <c r="A71" s="34"/>
      <c r="B71" s="34"/>
      <c r="C71" s="34"/>
      <c r="D71" s="34"/>
      <c r="E71" s="34"/>
      <c r="F71" s="54"/>
      <c r="G71" s="54"/>
      <c r="H71" s="166"/>
      <c r="I71" s="147"/>
      <c r="J71" s="61"/>
      <c r="K71" s="61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2.75">
      <c r="A72" s="34"/>
      <c r="B72" s="34"/>
      <c r="C72" s="34"/>
      <c r="D72" s="34"/>
      <c r="E72" s="34"/>
      <c r="F72" s="54"/>
      <c r="G72" s="54"/>
      <c r="H72" s="166"/>
      <c r="I72" s="147"/>
      <c r="J72" s="61"/>
      <c r="K72" s="61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2.75">
      <c r="A73" s="34"/>
      <c r="B73" s="34"/>
      <c r="C73" s="34"/>
      <c r="D73" s="34"/>
      <c r="E73" s="34"/>
      <c r="F73" s="54"/>
      <c r="G73" s="54"/>
      <c r="H73" s="166"/>
      <c r="I73" s="147"/>
      <c r="J73" s="61"/>
      <c r="K73" s="61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2.75">
      <c r="A74" s="34"/>
      <c r="B74" s="34"/>
      <c r="C74" s="34"/>
      <c r="D74" s="34"/>
      <c r="E74" s="34"/>
      <c r="F74" s="54"/>
      <c r="G74" s="54"/>
      <c r="H74" s="166"/>
      <c r="I74" s="147"/>
      <c r="J74" s="61"/>
      <c r="K74" s="61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2.75">
      <c r="A75" s="34"/>
      <c r="B75" s="34"/>
      <c r="C75" s="34"/>
      <c r="D75" s="34"/>
      <c r="E75" s="34"/>
      <c r="F75" s="54"/>
      <c r="G75" s="54"/>
      <c r="H75" s="166"/>
      <c r="I75" s="147"/>
      <c r="J75" s="61"/>
      <c r="K75" s="61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2.75">
      <c r="A76" s="34"/>
      <c r="B76" s="34"/>
      <c r="C76" s="34"/>
      <c r="D76" s="34"/>
      <c r="E76" s="34"/>
      <c r="F76" s="34"/>
      <c r="G76" s="34"/>
      <c r="H76" s="90"/>
      <c r="I76" s="66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2.75">
      <c r="A77" s="34"/>
      <c r="B77" s="34"/>
      <c r="C77" s="34"/>
      <c r="D77" s="34"/>
      <c r="E77" s="34"/>
      <c r="F77" s="34"/>
      <c r="G77" s="34"/>
      <c r="H77" s="90"/>
      <c r="I77" s="66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2.75">
      <c r="A78" s="34"/>
      <c r="B78" s="34"/>
      <c r="C78" s="34"/>
      <c r="D78" s="34"/>
      <c r="E78" s="34"/>
      <c r="F78" s="34"/>
      <c r="G78" s="34"/>
      <c r="H78" s="90"/>
      <c r="I78" s="66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>
      <c r="A79" s="34"/>
      <c r="B79" s="34"/>
      <c r="C79" s="34"/>
      <c r="D79" s="34"/>
      <c r="E79" s="34"/>
      <c r="F79" s="34"/>
      <c r="G79" s="34"/>
      <c r="H79" s="90"/>
      <c r="I79" s="66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2.75">
      <c r="A80" s="34"/>
      <c r="B80" s="34"/>
      <c r="C80" s="34"/>
      <c r="D80" s="34"/>
      <c r="E80" s="34"/>
      <c r="F80" s="34"/>
      <c r="G80" s="34"/>
      <c r="H80" s="90"/>
      <c r="I80" s="66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2.75">
      <c r="A81" s="34"/>
      <c r="B81" s="34"/>
      <c r="C81" s="34"/>
      <c r="D81" s="34"/>
      <c r="E81" s="34"/>
      <c r="F81" s="34"/>
      <c r="G81" s="34"/>
      <c r="H81" s="90"/>
      <c r="I81" s="66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2.75">
      <c r="A82" s="34"/>
      <c r="B82" s="34"/>
      <c r="C82" s="34"/>
      <c r="D82" s="34"/>
      <c r="E82" s="34"/>
      <c r="F82" s="34"/>
      <c r="G82" s="34"/>
      <c r="H82" s="90"/>
      <c r="I82" s="66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2.75">
      <c r="A83" s="34"/>
      <c r="B83" s="34"/>
      <c r="C83" s="34"/>
      <c r="D83" s="34"/>
      <c r="E83" s="34"/>
      <c r="F83" s="34"/>
      <c r="G83" s="34"/>
      <c r="H83" s="90"/>
      <c r="I83" s="66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2.75">
      <c r="A84" s="34"/>
      <c r="B84" s="34"/>
      <c r="C84" s="34"/>
      <c r="D84" s="34"/>
      <c r="E84" s="34"/>
      <c r="F84" s="34"/>
      <c r="G84" s="34"/>
      <c r="H84" s="90"/>
      <c r="I84" s="6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2.75">
      <c r="A85" s="34"/>
      <c r="B85" s="34"/>
      <c r="C85" s="34"/>
      <c r="D85" s="34"/>
      <c r="E85" s="34"/>
      <c r="F85" s="34"/>
      <c r="G85" s="34"/>
      <c r="H85" s="90"/>
      <c r="I85" s="6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2.75">
      <c r="A86" s="34"/>
      <c r="B86" s="34"/>
      <c r="C86" s="34"/>
      <c r="D86" s="34"/>
      <c r="E86" s="34"/>
      <c r="F86" s="34"/>
      <c r="G86" s="34"/>
      <c r="H86" s="90"/>
      <c r="I86" s="66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>
      <c r="A87" s="34"/>
      <c r="B87" s="34"/>
      <c r="C87" s="34"/>
      <c r="D87" s="34"/>
      <c r="E87" s="34"/>
      <c r="F87" s="34"/>
      <c r="G87" s="34"/>
      <c r="H87" s="90"/>
      <c r="I87" s="66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>
      <c r="A88" s="34"/>
      <c r="B88" s="34"/>
      <c r="C88" s="34"/>
      <c r="D88" s="34"/>
      <c r="E88" s="34"/>
      <c r="F88" s="34"/>
      <c r="G88" s="34"/>
      <c r="H88" s="90"/>
      <c r="I88" s="66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2.75">
      <c r="A89" s="34"/>
      <c r="B89" s="34"/>
      <c r="C89" s="34"/>
      <c r="D89" s="34"/>
      <c r="E89" s="34"/>
      <c r="F89" s="34"/>
      <c r="G89" s="34"/>
      <c r="H89" s="90"/>
      <c r="I89" s="66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2.75">
      <c r="A90" s="34"/>
      <c r="B90" s="34"/>
      <c r="C90" s="34"/>
      <c r="D90" s="34"/>
      <c r="E90" s="34"/>
      <c r="F90" s="34"/>
      <c r="G90" s="34"/>
      <c r="H90" s="90"/>
      <c r="I90" s="66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2.75">
      <c r="A91" s="34"/>
      <c r="B91" s="34"/>
      <c r="C91" s="34"/>
      <c r="D91" s="34"/>
      <c r="E91" s="34"/>
      <c r="F91" s="34"/>
      <c r="G91" s="34"/>
      <c r="H91" s="90"/>
      <c r="I91" s="66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>
      <c r="A92" s="34"/>
      <c r="B92" s="34"/>
      <c r="C92" s="34"/>
      <c r="D92" s="34"/>
      <c r="E92" s="34"/>
      <c r="F92" s="34"/>
      <c r="G92" s="34"/>
      <c r="H92" s="90"/>
      <c r="I92" s="66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>
      <c r="A93" s="34"/>
      <c r="B93" s="34"/>
      <c r="C93" s="34"/>
      <c r="D93" s="34"/>
      <c r="E93" s="34"/>
      <c r="F93" s="34"/>
      <c r="G93" s="34"/>
      <c r="H93" s="90"/>
      <c r="I93" s="66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2.75">
      <c r="A94" s="34"/>
      <c r="B94" s="34"/>
      <c r="C94" s="34"/>
      <c r="D94" s="34"/>
      <c r="E94" s="34"/>
      <c r="F94" s="34"/>
      <c r="G94" s="34"/>
      <c r="H94" s="90"/>
      <c r="I94" s="66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2.75">
      <c r="A95" s="34"/>
      <c r="B95" s="34"/>
      <c r="C95" s="34"/>
      <c r="D95" s="34"/>
      <c r="E95" s="34"/>
      <c r="F95" s="34"/>
      <c r="G95" s="34"/>
      <c r="H95" s="90"/>
      <c r="I95" s="66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2.75">
      <c r="A96" s="34"/>
      <c r="B96" s="34"/>
      <c r="C96" s="34"/>
      <c r="D96" s="34"/>
      <c r="E96" s="34"/>
      <c r="F96" s="34"/>
      <c r="G96" s="34"/>
      <c r="H96" s="90"/>
      <c r="I96" s="66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2.75">
      <c r="A97" s="34"/>
      <c r="B97" s="34"/>
      <c r="C97" s="34"/>
      <c r="D97" s="34"/>
      <c r="E97" s="34"/>
      <c r="F97" s="34"/>
      <c r="G97" s="34"/>
      <c r="H97" s="90"/>
      <c r="I97" s="66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2.75">
      <c r="A98" s="34"/>
      <c r="B98" s="34"/>
      <c r="C98" s="34"/>
      <c r="D98" s="34"/>
      <c r="E98" s="34"/>
      <c r="F98" s="34"/>
      <c r="G98" s="34"/>
      <c r="H98" s="90"/>
      <c r="I98" s="66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2.75">
      <c r="A99" s="34"/>
      <c r="B99" s="34"/>
      <c r="C99" s="34"/>
      <c r="D99" s="34"/>
      <c r="E99" s="34"/>
      <c r="F99" s="34"/>
      <c r="G99" s="34"/>
      <c r="H99" s="90"/>
      <c r="I99" s="6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2.75">
      <c r="A100" s="34"/>
      <c r="B100" s="34"/>
      <c r="C100" s="34"/>
      <c r="D100" s="34"/>
      <c r="E100" s="34"/>
      <c r="F100" s="34"/>
      <c r="G100" s="34"/>
      <c r="H100" s="90"/>
      <c r="I100" s="66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2.75">
      <c r="A101" s="34"/>
      <c r="B101" s="34"/>
      <c r="C101" s="34"/>
      <c r="D101" s="34"/>
      <c r="E101" s="34"/>
      <c r="F101" s="34"/>
      <c r="G101" s="34"/>
      <c r="H101" s="90"/>
      <c r="I101" s="66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2.75">
      <c r="A102" s="34"/>
      <c r="B102" s="34"/>
      <c r="C102" s="34"/>
      <c r="D102" s="34"/>
      <c r="E102" s="34"/>
      <c r="F102" s="34"/>
      <c r="G102" s="34"/>
      <c r="H102" s="90"/>
      <c r="I102" s="66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>
      <c r="A103" s="34"/>
      <c r="B103" s="34"/>
      <c r="C103" s="34"/>
      <c r="D103" s="34"/>
      <c r="E103" s="34"/>
      <c r="F103" s="34"/>
      <c r="G103" s="34"/>
      <c r="H103" s="90"/>
      <c r="I103" s="66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2.75">
      <c r="A104" s="34"/>
      <c r="B104" s="34"/>
      <c r="C104" s="34"/>
      <c r="D104" s="34"/>
      <c r="E104" s="34"/>
      <c r="F104" s="34"/>
      <c r="G104" s="34"/>
      <c r="H104" s="90"/>
      <c r="I104" s="6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2.75">
      <c r="A105" s="34"/>
      <c r="B105" s="34"/>
      <c r="C105" s="34"/>
      <c r="D105" s="34"/>
      <c r="E105" s="34"/>
      <c r="F105" s="34"/>
      <c r="G105" s="34"/>
      <c r="H105" s="90"/>
      <c r="I105" s="66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2.75">
      <c r="A106" s="34"/>
      <c r="B106" s="34"/>
      <c r="C106" s="34"/>
      <c r="D106" s="34"/>
      <c r="E106" s="34"/>
      <c r="F106" s="34"/>
      <c r="G106" s="34"/>
      <c r="H106" s="90"/>
      <c r="I106" s="66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2.75">
      <c r="A107" s="34"/>
      <c r="B107" s="34"/>
      <c r="C107" s="34"/>
      <c r="D107" s="34"/>
      <c r="E107" s="34"/>
      <c r="F107" s="34"/>
      <c r="G107" s="34"/>
      <c r="H107" s="90"/>
      <c r="I107" s="66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2.75">
      <c r="A108" s="34"/>
      <c r="B108" s="34"/>
      <c r="C108" s="34"/>
      <c r="D108" s="34"/>
      <c r="E108" s="34"/>
      <c r="F108" s="34"/>
      <c r="G108" s="34"/>
      <c r="H108" s="90"/>
      <c r="I108" s="66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2.75">
      <c r="A109" s="34"/>
      <c r="B109" s="34"/>
      <c r="C109" s="34"/>
      <c r="D109" s="34"/>
      <c r="E109" s="34"/>
      <c r="F109" s="34"/>
      <c r="G109" s="34"/>
      <c r="H109" s="90"/>
      <c r="I109" s="66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2.75">
      <c r="A110" s="34"/>
      <c r="B110" s="34"/>
      <c r="C110" s="34"/>
      <c r="D110" s="34"/>
      <c r="E110" s="34"/>
      <c r="F110" s="34"/>
      <c r="G110" s="34"/>
      <c r="H110" s="90"/>
      <c r="I110" s="66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2.75">
      <c r="A111" s="34"/>
      <c r="B111" s="34"/>
      <c r="C111" s="34"/>
      <c r="D111" s="34"/>
      <c r="E111" s="34"/>
      <c r="F111" s="34"/>
      <c r="G111" s="34"/>
      <c r="H111" s="90"/>
      <c r="I111" s="66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2.75">
      <c r="A112" s="34"/>
      <c r="B112" s="34"/>
      <c r="C112" s="34"/>
      <c r="D112" s="34"/>
      <c r="E112" s="34"/>
      <c r="F112" s="34"/>
      <c r="G112" s="34"/>
      <c r="H112" s="90"/>
      <c r="I112" s="66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>
      <c r="A113" s="34"/>
      <c r="B113" s="34"/>
      <c r="C113" s="34"/>
      <c r="D113" s="34"/>
      <c r="E113" s="34"/>
      <c r="F113" s="34"/>
      <c r="G113" s="34"/>
      <c r="H113" s="90"/>
      <c r="I113" s="66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>
      <c r="A114" s="34"/>
      <c r="B114" s="34"/>
      <c r="C114" s="34"/>
      <c r="D114" s="34"/>
      <c r="E114" s="34"/>
      <c r="F114" s="34"/>
      <c r="G114" s="34"/>
      <c r="H114" s="90"/>
      <c r="I114" s="66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2.75">
      <c r="A115" s="34"/>
      <c r="B115" s="34"/>
      <c r="C115" s="34"/>
      <c r="D115" s="34"/>
      <c r="E115" s="34"/>
      <c r="F115" s="34"/>
      <c r="G115" s="34"/>
      <c r="H115" s="90"/>
      <c r="I115" s="66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2.75">
      <c r="A116" s="34"/>
      <c r="B116" s="34"/>
      <c r="C116" s="34"/>
      <c r="D116" s="34"/>
      <c r="E116" s="34"/>
      <c r="F116" s="34"/>
      <c r="G116" s="34"/>
      <c r="H116" s="90"/>
      <c r="I116" s="66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2.75">
      <c r="A117" s="34"/>
      <c r="B117" s="34"/>
      <c r="C117" s="34"/>
      <c r="D117" s="34"/>
      <c r="E117" s="34"/>
      <c r="F117" s="34"/>
      <c r="G117" s="34"/>
      <c r="H117" s="90"/>
      <c r="I117" s="66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2.75">
      <c r="A118" s="34"/>
      <c r="B118" s="34"/>
      <c r="C118" s="34"/>
      <c r="D118" s="34"/>
      <c r="E118" s="34"/>
      <c r="F118" s="34"/>
      <c r="G118" s="34"/>
      <c r="H118" s="90"/>
      <c r="I118" s="66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2.75">
      <c r="A119" s="34"/>
      <c r="B119" s="34"/>
      <c r="C119" s="34"/>
      <c r="D119" s="34"/>
      <c r="E119" s="34"/>
      <c r="F119" s="34"/>
      <c r="G119" s="34"/>
      <c r="H119" s="90"/>
      <c r="I119" s="66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2.75">
      <c r="A120" s="34"/>
      <c r="B120" s="34"/>
      <c r="C120" s="34"/>
      <c r="D120" s="34"/>
      <c r="E120" s="34"/>
      <c r="F120" s="34"/>
      <c r="G120" s="34"/>
      <c r="H120" s="90"/>
      <c r="I120" s="66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2.75">
      <c r="A121" s="34"/>
      <c r="B121" s="34"/>
      <c r="C121" s="34"/>
      <c r="D121" s="34"/>
      <c r="E121" s="34"/>
      <c r="F121" s="34"/>
      <c r="G121" s="34"/>
      <c r="H121" s="90"/>
      <c r="I121" s="66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2.75">
      <c r="A122" s="34"/>
      <c r="B122" s="34"/>
      <c r="C122" s="34"/>
      <c r="D122" s="34"/>
      <c r="E122" s="34"/>
      <c r="F122" s="34"/>
      <c r="G122" s="34"/>
      <c r="H122" s="90"/>
      <c r="I122" s="66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>
      <c r="A123" s="34"/>
      <c r="B123" s="34"/>
      <c r="C123" s="34"/>
      <c r="D123" s="34"/>
      <c r="E123" s="34"/>
      <c r="F123" s="34"/>
      <c r="G123" s="34"/>
      <c r="H123" s="90"/>
      <c r="I123" s="66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2.75">
      <c r="A124" s="34"/>
      <c r="B124" s="34"/>
      <c r="C124" s="34"/>
      <c r="D124" s="34"/>
      <c r="E124" s="34"/>
      <c r="F124" s="34"/>
      <c r="G124" s="34"/>
      <c r="H124" s="90"/>
      <c r="I124" s="66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2.75">
      <c r="A125" s="34"/>
      <c r="B125" s="34"/>
      <c r="C125" s="34"/>
      <c r="D125" s="34"/>
      <c r="E125" s="34"/>
      <c r="F125" s="34"/>
      <c r="G125" s="34"/>
      <c r="H125" s="90"/>
      <c r="I125" s="66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>
      <c r="A126" s="34"/>
      <c r="B126" s="34"/>
      <c r="C126" s="34"/>
      <c r="D126" s="34"/>
      <c r="E126" s="34"/>
      <c r="F126" s="34"/>
      <c r="G126" s="34"/>
      <c r="H126" s="90"/>
      <c r="I126" s="66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2.75">
      <c r="A127" s="34"/>
      <c r="B127" s="34"/>
      <c r="C127" s="34"/>
      <c r="D127" s="34"/>
      <c r="E127" s="34"/>
      <c r="F127" s="34"/>
      <c r="G127" s="34"/>
      <c r="H127" s="90"/>
      <c r="I127" s="66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2.75">
      <c r="A128" s="34"/>
      <c r="B128" s="34"/>
      <c r="C128" s="34"/>
      <c r="D128" s="34"/>
      <c r="E128" s="34"/>
      <c r="F128" s="34"/>
      <c r="G128" s="34"/>
      <c r="H128" s="90"/>
      <c r="I128" s="66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2.75">
      <c r="A129" s="34"/>
      <c r="B129" s="34"/>
      <c r="C129" s="34"/>
      <c r="D129" s="34"/>
      <c r="E129" s="34"/>
      <c r="F129" s="34"/>
      <c r="G129" s="34"/>
      <c r="H129" s="90"/>
      <c r="I129" s="66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2.75">
      <c r="A130" s="34"/>
      <c r="B130" s="34"/>
      <c r="C130" s="34"/>
      <c r="D130" s="34"/>
      <c r="E130" s="34"/>
      <c r="F130" s="34"/>
      <c r="G130" s="34"/>
      <c r="H130" s="90"/>
      <c r="I130" s="66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>
      <c r="A131" s="34"/>
      <c r="B131" s="34"/>
      <c r="C131" s="34"/>
      <c r="D131" s="34"/>
      <c r="E131" s="34"/>
      <c r="F131" s="34"/>
      <c r="G131" s="34"/>
      <c r="H131" s="90"/>
      <c r="I131" s="66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>
      <c r="A132" s="34"/>
      <c r="B132" s="34"/>
      <c r="C132" s="34"/>
      <c r="D132" s="34"/>
      <c r="E132" s="34"/>
      <c r="F132" s="34"/>
      <c r="G132" s="34"/>
      <c r="H132" s="90"/>
      <c r="I132" s="66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2.75">
      <c r="A133" s="34"/>
      <c r="B133" s="34"/>
      <c r="C133" s="34"/>
      <c r="D133" s="34"/>
      <c r="E133" s="34"/>
      <c r="F133" s="34"/>
      <c r="G133" s="34"/>
      <c r="H133" s="90"/>
      <c r="I133" s="66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2.75">
      <c r="A134" s="34"/>
      <c r="B134" s="34"/>
      <c r="C134" s="34"/>
      <c r="D134" s="34"/>
      <c r="E134" s="34"/>
      <c r="F134" s="34"/>
      <c r="G134" s="34"/>
      <c r="H134" s="90"/>
      <c r="I134" s="66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2.75">
      <c r="A135" s="34"/>
      <c r="B135" s="34"/>
      <c r="C135" s="34"/>
      <c r="D135" s="34"/>
      <c r="E135" s="34"/>
      <c r="F135" s="34"/>
      <c r="G135" s="34"/>
      <c r="H135" s="90"/>
      <c r="I135" s="66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2.75">
      <c r="A136" s="34"/>
      <c r="B136" s="34"/>
      <c r="C136" s="34"/>
      <c r="D136" s="34"/>
      <c r="E136" s="34"/>
      <c r="F136" s="34"/>
      <c r="G136" s="34"/>
      <c r="H136" s="90"/>
      <c r="I136" s="66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>
      <c r="A137" s="34"/>
      <c r="B137" s="34"/>
      <c r="C137" s="34"/>
      <c r="D137" s="34"/>
      <c r="E137" s="34"/>
      <c r="F137" s="34"/>
      <c r="G137" s="34"/>
      <c r="H137" s="90"/>
      <c r="I137" s="66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2.75">
      <c r="A138" s="34"/>
      <c r="B138" s="34"/>
      <c r="C138" s="34"/>
      <c r="D138" s="34"/>
      <c r="E138" s="34"/>
      <c r="F138" s="34"/>
      <c r="G138" s="34"/>
      <c r="H138" s="90"/>
      <c r="I138" s="66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2.75">
      <c r="A139" s="34"/>
      <c r="B139" s="34"/>
      <c r="C139" s="34"/>
      <c r="D139" s="34"/>
      <c r="E139" s="34"/>
      <c r="F139" s="34"/>
      <c r="G139" s="34"/>
      <c r="H139" s="90"/>
      <c r="I139" s="66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2.75">
      <c r="A140" s="34"/>
      <c r="B140" s="34"/>
      <c r="C140" s="34"/>
      <c r="D140" s="34"/>
      <c r="E140" s="34"/>
      <c r="F140" s="34"/>
      <c r="G140" s="34"/>
      <c r="H140" s="90"/>
      <c r="I140" s="66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2.75">
      <c r="A141" s="34"/>
      <c r="B141" s="34"/>
      <c r="C141" s="34"/>
      <c r="D141" s="34"/>
      <c r="E141" s="34"/>
      <c r="F141" s="34"/>
      <c r="G141" s="34"/>
      <c r="H141" s="90"/>
      <c r="I141" s="66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2.75">
      <c r="A142" s="34"/>
      <c r="B142" s="34"/>
      <c r="C142" s="34"/>
      <c r="D142" s="34"/>
      <c r="E142" s="34"/>
      <c r="F142" s="34"/>
      <c r="G142" s="34"/>
      <c r="H142" s="90"/>
      <c r="I142" s="66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2.75">
      <c r="A143" s="34"/>
      <c r="B143" s="34"/>
      <c r="C143" s="34"/>
      <c r="D143" s="34"/>
      <c r="E143" s="34"/>
      <c r="F143" s="34"/>
      <c r="G143" s="34"/>
      <c r="H143" s="90"/>
      <c r="I143" s="66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2.75">
      <c r="A144" s="34"/>
      <c r="B144" s="34"/>
      <c r="C144" s="34"/>
      <c r="D144" s="34"/>
      <c r="E144" s="34"/>
      <c r="F144" s="34"/>
      <c r="G144" s="34"/>
      <c r="H144" s="90"/>
      <c r="I144" s="66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2.75">
      <c r="A145" s="34"/>
      <c r="B145" s="34"/>
      <c r="C145" s="34"/>
      <c r="D145" s="34"/>
      <c r="E145" s="34"/>
      <c r="F145" s="34"/>
      <c r="G145" s="34"/>
      <c r="H145" s="90"/>
      <c r="I145" s="66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2.75">
      <c r="A146" s="34"/>
      <c r="B146" s="34"/>
      <c r="C146" s="34"/>
      <c r="D146" s="34"/>
      <c r="E146" s="34"/>
      <c r="F146" s="34"/>
      <c r="G146" s="34"/>
      <c r="H146" s="90"/>
      <c r="I146" s="66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>
      <c r="A147" s="34"/>
      <c r="B147" s="34"/>
      <c r="C147" s="34"/>
      <c r="D147" s="34"/>
      <c r="E147" s="34"/>
      <c r="F147" s="34"/>
      <c r="G147" s="34"/>
      <c r="H147" s="90"/>
      <c r="I147" s="66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2.75">
      <c r="A148" s="34"/>
      <c r="B148" s="34"/>
      <c r="C148" s="34"/>
      <c r="D148" s="34"/>
      <c r="E148" s="34"/>
      <c r="F148" s="34"/>
      <c r="G148" s="34"/>
      <c r="H148" s="90"/>
      <c r="I148" s="66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2.75">
      <c r="A149" s="34"/>
      <c r="B149" s="34"/>
      <c r="C149" s="34"/>
      <c r="D149" s="34"/>
      <c r="E149" s="34"/>
      <c r="F149" s="34"/>
      <c r="G149" s="34"/>
      <c r="H149" s="90"/>
      <c r="I149" s="66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2.75">
      <c r="A150" s="34"/>
      <c r="B150" s="34"/>
      <c r="C150" s="34"/>
      <c r="D150" s="34"/>
      <c r="E150" s="34"/>
      <c r="F150" s="34"/>
      <c r="G150" s="34"/>
      <c r="H150" s="90"/>
      <c r="I150" s="66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2.75">
      <c r="A151" s="34"/>
      <c r="B151" s="34"/>
      <c r="C151" s="34"/>
      <c r="D151" s="34"/>
      <c r="E151" s="34"/>
      <c r="F151" s="34"/>
      <c r="G151" s="34"/>
      <c r="H151" s="90"/>
      <c r="I151" s="66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2.75">
      <c r="A152" s="34"/>
      <c r="B152" s="34"/>
      <c r="C152" s="34"/>
      <c r="D152" s="34"/>
      <c r="E152" s="34"/>
      <c r="F152" s="34"/>
      <c r="G152" s="34"/>
      <c r="H152" s="90"/>
      <c r="I152" s="66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2.75">
      <c r="A153" s="34"/>
      <c r="B153" s="34"/>
      <c r="C153" s="34"/>
      <c r="D153" s="34"/>
      <c r="E153" s="34"/>
      <c r="F153" s="34"/>
      <c r="G153" s="34"/>
      <c r="H153" s="90"/>
      <c r="I153" s="66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2.75">
      <c r="A154" s="34"/>
      <c r="B154" s="34"/>
      <c r="C154" s="34"/>
      <c r="D154" s="34"/>
      <c r="E154" s="34"/>
      <c r="F154" s="34"/>
      <c r="G154" s="34"/>
      <c r="H154" s="90"/>
      <c r="I154" s="66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2.75">
      <c r="A155" s="34"/>
      <c r="B155" s="34"/>
      <c r="C155" s="34"/>
      <c r="D155" s="34"/>
      <c r="E155" s="34"/>
      <c r="F155" s="34"/>
      <c r="G155" s="34"/>
      <c r="H155" s="90"/>
      <c r="I155" s="66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</sheetData>
  <sheetProtection password="8AD1" sheet="1" objects="1" scenarios="1"/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0"/>
  <sheetViews>
    <sheetView workbookViewId="0" topLeftCell="A1">
      <selection activeCell="A2" sqref="A2"/>
    </sheetView>
  </sheetViews>
  <sheetFormatPr defaultColWidth="9.140625" defaultRowHeight="12.75"/>
  <cols>
    <col min="1" max="1" width="18.28125" style="88" customWidth="1"/>
    <col min="2" max="2" width="9.7109375" style="88" customWidth="1"/>
    <col min="3" max="3" width="21.00390625" style="88" customWidth="1"/>
    <col min="4" max="4" width="16.57421875" style="146" bestFit="1" customWidth="1"/>
    <col min="5" max="5" width="16.00390625" style="101" bestFit="1" customWidth="1"/>
    <col min="6" max="6" width="6.57421875" style="7" customWidth="1"/>
    <col min="7" max="16384" width="9.140625" style="7" customWidth="1"/>
  </cols>
  <sheetData>
    <row r="1" spans="1:23" ht="12.75">
      <c r="A1" s="69" t="s">
        <v>295</v>
      </c>
      <c r="B1" s="59"/>
      <c r="C1" s="71"/>
      <c r="D1" s="90"/>
      <c r="E1" s="6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3" ht="12.75">
      <c r="A2" s="8" t="s">
        <v>336</v>
      </c>
      <c r="B2" s="128"/>
      <c r="C2" s="72"/>
      <c r="D2" s="90"/>
      <c r="E2" s="6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12.75">
      <c r="A3" s="171" t="s">
        <v>296</v>
      </c>
      <c r="B3" s="201">
        <v>0</v>
      </c>
      <c r="C3" s="19" t="s">
        <v>2</v>
      </c>
      <c r="D3" s="90"/>
      <c r="E3" s="6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2.75">
      <c r="A4" s="202" t="s">
        <v>5</v>
      </c>
      <c r="B4" s="201">
        <v>0</v>
      </c>
      <c r="C4" s="19" t="s">
        <v>2</v>
      </c>
      <c r="D4" s="90"/>
      <c r="E4" s="6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.75">
      <c r="A5" s="130" t="s">
        <v>199</v>
      </c>
      <c r="B5" s="201">
        <v>0</v>
      </c>
      <c r="C5" s="19" t="s">
        <v>2</v>
      </c>
      <c r="D5" s="90"/>
      <c r="E5" s="6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2.75">
      <c r="A6" s="171" t="s">
        <v>233</v>
      </c>
      <c r="B6" s="201">
        <v>0</v>
      </c>
      <c r="C6" s="19" t="s">
        <v>2</v>
      </c>
      <c r="D6" s="90"/>
      <c r="E6" s="6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02" t="s">
        <v>269</v>
      </c>
      <c r="B7" s="201">
        <v>0</v>
      </c>
      <c r="C7" s="19" t="s">
        <v>2</v>
      </c>
      <c r="D7" s="90"/>
      <c r="E7" s="6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2.75">
      <c r="A8" s="202" t="s">
        <v>270</v>
      </c>
      <c r="B8" s="201">
        <v>0</v>
      </c>
      <c r="C8" s="19" t="s">
        <v>2</v>
      </c>
      <c r="D8" s="90"/>
      <c r="E8" s="6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.75">
      <c r="A9" s="202" t="s">
        <v>271</v>
      </c>
      <c r="B9" s="201">
        <v>0</v>
      </c>
      <c r="C9" s="19" t="s">
        <v>2</v>
      </c>
      <c r="D9" s="90"/>
      <c r="E9" s="6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2.75">
      <c r="A10" s="202" t="s">
        <v>272</v>
      </c>
      <c r="B10" s="201">
        <v>0</v>
      </c>
      <c r="C10" s="19" t="s">
        <v>2</v>
      </c>
      <c r="D10" s="90"/>
      <c r="E10" s="6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2.75">
      <c r="A11" s="130" t="s">
        <v>246</v>
      </c>
      <c r="B11" s="201">
        <v>0</v>
      </c>
      <c r="C11" s="19" t="s">
        <v>2</v>
      </c>
      <c r="D11" s="90"/>
      <c r="E11" s="6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.75">
      <c r="A12" s="202" t="s">
        <v>297</v>
      </c>
      <c r="B12" s="201">
        <v>0</v>
      </c>
      <c r="C12" s="19" t="s">
        <v>2</v>
      </c>
      <c r="D12" s="90"/>
      <c r="E12" s="6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.75">
      <c r="A13" s="202" t="s">
        <v>298</v>
      </c>
      <c r="B13" s="201">
        <v>0</v>
      </c>
      <c r="C13" s="19" t="s">
        <v>2</v>
      </c>
      <c r="D13" s="90"/>
      <c r="E13" s="6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.75">
      <c r="A14" s="130" t="s">
        <v>299</v>
      </c>
      <c r="B14" s="201">
        <v>0</v>
      </c>
      <c r="C14" s="19" t="s">
        <v>2</v>
      </c>
      <c r="D14" s="90"/>
      <c r="E14" s="6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.75">
      <c r="A15" s="203" t="s">
        <v>273</v>
      </c>
      <c r="B15" s="204" t="str">
        <f>IF(E47=11,D66,"-----")</f>
        <v>-----</v>
      </c>
      <c r="C15" s="26" t="s">
        <v>10</v>
      </c>
      <c r="D15" s="90"/>
      <c r="E15" s="6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.75">
      <c r="A16" s="203" t="s">
        <v>300</v>
      </c>
      <c r="B16" s="26" t="str">
        <f>IF(E47=11,D69,"-----")</f>
        <v>-----</v>
      </c>
      <c r="C16" s="26" t="s">
        <v>10</v>
      </c>
      <c r="D16" s="90"/>
      <c r="E16" s="6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2.75">
      <c r="A17" s="205" t="s">
        <v>248</v>
      </c>
      <c r="B17" s="26" t="str">
        <f>IF(E47=11,D68,"-----")</f>
        <v>-----</v>
      </c>
      <c r="C17" s="26" t="s">
        <v>10</v>
      </c>
      <c r="D17" s="90"/>
      <c r="E17" s="6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2" ht="12.75">
      <c r="A18" s="34"/>
      <c r="B18" s="34"/>
      <c r="C18" s="30" t="s">
        <v>16</v>
      </c>
      <c r="D18" s="90"/>
      <c r="E18" s="6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ht="12.75">
      <c r="A19" s="34"/>
      <c r="B19" s="34"/>
      <c r="C19" s="54"/>
      <c r="D19" s="90"/>
      <c r="E19" s="6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5" s="61" customFormat="1" ht="12.75">
      <c r="A20" s="54"/>
      <c r="B20" s="54"/>
      <c r="C20" s="54"/>
      <c r="D20" s="166"/>
      <c r="E20" s="147"/>
    </row>
    <row r="21" spans="1:5" s="61" customFormat="1" ht="12.75">
      <c r="A21" s="54"/>
      <c r="B21" s="54"/>
      <c r="C21" s="54"/>
      <c r="D21" s="166"/>
      <c r="E21" s="147"/>
    </row>
    <row r="22" spans="1:5" s="61" customFormat="1" ht="12.75">
      <c r="A22" s="54"/>
      <c r="B22" s="54"/>
      <c r="C22" s="54"/>
      <c r="D22" s="166"/>
      <c r="E22" s="147"/>
    </row>
    <row r="23" spans="1:5" s="61" customFormat="1" ht="12.75">
      <c r="A23" s="54"/>
      <c r="B23" s="54"/>
      <c r="C23" s="54"/>
      <c r="D23" s="166"/>
      <c r="E23" s="147"/>
    </row>
    <row r="24" spans="1:5" s="61" customFormat="1" ht="12.75">
      <c r="A24" s="54"/>
      <c r="B24" s="159"/>
      <c r="C24" s="159"/>
      <c r="D24" s="166"/>
      <c r="E24" s="147"/>
    </row>
    <row r="25" spans="1:5" s="61" customFormat="1" ht="12.75">
      <c r="A25" s="54"/>
      <c r="B25" s="159"/>
      <c r="C25" s="159"/>
      <c r="D25" s="166"/>
      <c r="E25" s="147"/>
    </row>
    <row r="26" spans="1:5" s="61" customFormat="1" ht="12.75">
      <c r="A26" s="54"/>
      <c r="B26" s="54"/>
      <c r="C26" s="199"/>
      <c r="D26" s="166"/>
      <c r="E26" s="147"/>
    </row>
    <row r="27" spans="1:5" s="61" customFormat="1" ht="12.75">
      <c r="A27" s="163"/>
      <c r="B27" s="222"/>
      <c r="C27" s="54"/>
      <c r="D27" s="166"/>
      <c r="E27" s="147"/>
    </row>
    <row r="28" spans="1:5" s="61" customFormat="1" ht="12.75">
      <c r="A28" s="183"/>
      <c r="B28" s="183"/>
      <c r="C28" s="147"/>
      <c r="D28" s="166"/>
      <c r="E28" s="147"/>
    </row>
    <row r="29" spans="1:5" s="61" customFormat="1" ht="12.75">
      <c r="A29" s="54"/>
      <c r="B29" s="54"/>
      <c r="C29" s="147"/>
      <c r="D29" s="166"/>
      <c r="E29" s="147"/>
    </row>
    <row r="30" spans="1:5" s="61" customFormat="1" ht="12.75">
      <c r="A30" s="54"/>
      <c r="B30" s="54"/>
      <c r="C30" s="147"/>
      <c r="D30" s="166"/>
      <c r="E30" s="147"/>
    </row>
    <row r="31" spans="1:5" s="61" customFormat="1" ht="12.75">
      <c r="A31" s="163"/>
      <c r="B31" s="54"/>
      <c r="C31" s="147"/>
      <c r="D31" s="166"/>
      <c r="E31" s="147"/>
    </row>
    <row r="32" spans="1:5" s="61" customFormat="1" ht="12.75" hidden="1">
      <c r="A32" s="163"/>
      <c r="B32" s="223"/>
      <c r="C32" s="54"/>
      <c r="D32" s="166"/>
      <c r="E32" s="147"/>
    </row>
    <row r="33" spans="1:5" s="61" customFormat="1" ht="12.75" hidden="1">
      <c r="A33" s="163"/>
      <c r="B33" s="163"/>
      <c r="C33" s="147"/>
      <c r="D33" s="166"/>
      <c r="E33" s="147"/>
    </row>
    <row r="34" spans="1:5" s="61" customFormat="1" ht="12.75" hidden="1">
      <c r="A34" s="220"/>
      <c r="B34" s="220"/>
      <c r="C34" s="54"/>
      <c r="D34" s="166"/>
      <c r="E34" s="147"/>
    </row>
    <row r="35" spans="1:5" s="61" customFormat="1" ht="12.75" hidden="1">
      <c r="A35" s="220"/>
      <c r="B35" s="220"/>
      <c r="C35" s="147"/>
      <c r="D35" s="166"/>
      <c r="E35" s="147"/>
    </row>
    <row r="36" spans="2:6" s="61" customFormat="1" ht="12.75" hidden="1">
      <c r="B36" s="224"/>
      <c r="C36" s="225" t="s">
        <v>301</v>
      </c>
      <c r="D36" s="226">
        <f>B5</f>
        <v>0</v>
      </c>
      <c r="E36" s="227">
        <f>IF(D36&gt;0,1,0)</f>
        <v>0</v>
      </c>
      <c r="F36" s="228"/>
    </row>
    <row r="37" spans="2:6" s="61" customFormat="1" ht="12.75" hidden="1">
      <c r="B37" s="224"/>
      <c r="C37" s="225" t="s">
        <v>302</v>
      </c>
      <c r="D37" s="226">
        <f>B3</f>
        <v>0</v>
      </c>
      <c r="E37" s="229">
        <f aca="true" t="shared" si="0" ref="E37:E46">IF(D37&gt;0,1,0)</f>
        <v>0</v>
      </c>
      <c r="F37" s="230"/>
    </row>
    <row r="38" spans="2:6" s="61" customFormat="1" ht="12.75" hidden="1">
      <c r="B38" s="224"/>
      <c r="C38" s="225" t="s">
        <v>303</v>
      </c>
      <c r="D38" s="226">
        <f>B4</f>
        <v>0</v>
      </c>
      <c r="E38" s="229">
        <f t="shared" si="0"/>
        <v>0</v>
      </c>
      <c r="F38" s="230"/>
    </row>
    <row r="39" spans="2:6" s="61" customFormat="1" ht="12.75" hidden="1">
      <c r="B39" s="224"/>
      <c r="C39" s="225" t="s">
        <v>304</v>
      </c>
      <c r="D39" s="226">
        <f>B9+B8</f>
        <v>0</v>
      </c>
      <c r="E39" s="229">
        <f t="shared" si="0"/>
        <v>0</v>
      </c>
      <c r="F39" s="230"/>
    </row>
    <row r="40" spans="2:6" s="61" customFormat="1" ht="12.75" hidden="1">
      <c r="B40" s="224"/>
      <c r="C40" s="225" t="s">
        <v>305</v>
      </c>
      <c r="D40" s="226">
        <f>B9</f>
        <v>0</v>
      </c>
      <c r="E40" s="229">
        <f t="shared" si="0"/>
        <v>0</v>
      </c>
      <c r="F40" s="230"/>
    </row>
    <row r="41" spans="2:6" s="61" customFormat="1" ht="12.75" hidden="1">
      <c r="B41" s="224"/>
      <c r="C41" s="225" t="s">
        <v>306</v>
      </c>
      <c r="D41" s="226">
        <f>B13</f>
        <v>0</v>
      </c>
      <c r="E41" s="229">
        <f t="shared" si="0"/>
        <v>0</v>
      </c>
      <c r="F41" s="230"/>
    </row>
    <row r="42" spans="2:6" s="61" customFormat="1" ht="12.75" hidden="1">
      <c r="B42" s="224"/>
      <c r="C42" s="225" t="s">
        <v>307</v>
      </c>
      <c r="D42" s="226">
        <f>B6</f>
        <v>0</v>
      </c>
      <c r="E42" s="229">
        <f t="shared" si="0"/>
        <v>0</v>
      </c>
      <c r="F42" s="230"/>
    </row>
    <row r="43" spans="2:6" s="61" customFormat="1" ht="12.75" hidden="1">
      <c r="B43" s="224"/>
      <c r="C43" s="225" t="s">
        <v>308</v>
      </c>
      <c r="D43" s="226">
        <f>B7</f>
        <v>0</v>
      </c>
      <c r="E43" s="229">
        <f t="shared" si="0"/>
        <v>0</v>
      </c>
      <c r="F43" s="230"/>
    </row>
    <row r="44" spans="2:6" s="61" customFormat="1" ht="12.75" hidden="1">
      <c r="B44" s="224"/>
      <c r="C44" s="225" t="s">
        <v>309</v>
      </c>
      <c r="D44" s="226">
        <f>B12</f>
        <v>0</v>
      </c>
      <c r="E44" s="229">
        <f t="shared" si="0"/>
        <v>0</v>
      </c>
      <c r="F44" s="230"/>
    </row>
    <row r="45" spans="2:6" s="61" customFormat="1" ht="12.75" hidden="1">
      <c r="B45" s="224"/>
      <c r="C45" s="225" t="s">
        <v>310</v>
      </c>
      <c r="D45" s="226">
        <f>B10</f>
        <v>0</v>
      </c>
      <c r="E45" s="229">
        <f t="shared" si="0"/>
        <v>0</v>
      </c>
      <c r="F45" s="230"/>
    </row>
    <row r="46" spans="2:6" s="61" customFormat="1" ht="12.75" hidden="1">
      <c r="B46" s="224"/>
      <c r="C46" s="225" t="s">
        <v>311</v>
      </c>
      <c r="D46" s="226">
        <f>D48</f>
        <v>0</v>
      </c>
      <c r="E46" s="229">
        <f t="shared" si="0"/>
        <v>0</v>
      </c>
      <c r="F46" s="230"/>
    </row>
    <row r="47" spans="2:6" s="61" customFormat="1" ht="12.75" hidden="1">
      <c r="B47" s="224"/>
      <c r="C47" s="225" t="s">
        <v>246</v>
      </c>
      <c r="D47" s="226">
        <f>B11</f>
        <v>0</v>
      </c>
      <c r="E47" s="231">
        <f>SUM(E36:E46)</f>
        <v>0</v>
      </c>
      <c r="F47" s="230"/>
    </row>
    <row r="48" spans="2:6" s="61" customFormat="1" ht="12.75" hidden="1">
      <c r="B48" s="224"/>
      <c r="C48" s="225" t="s">
        <v>312</v>
      </c>
      <c r="D48" s="226">
        <f>B14*60</f>
        <v>0</v>
      </c>
      <c r="E48" s="232"/>
      <c r="F48" s="230"/>
    </row>
    <row r="49" spans="2:6" s="61" customFormat="1" ht="12.75" hidden="1">
      <c r="B49" s="224"/>
      <c r="C49" s="225" t="s">
        <v>313</v>
      </c>
      <c r="D49" s="226">
        <f>B6/2.14</f>
        <v>0</v>
      </c>
      <c r="E49" s="232"/>
      <c r="F49" s="230"/>
    </row>
    <row r="50" spans="2:6" s="61" customFormat="1" ht="12.75" hidden="1">
      <c r="B50" s="224"/>
      <c r="C50" s="225" t="s">
        <v>314</v>
      </c>
      <c r="D50" s="226">
        <f>B7/2.14</f>
        <v>0</v>
      </c>
      <c r="E50" s="232"/>
      <c r="F50" s="230"/>
    </row>
    <row r="51" spans="2:6" s="61" customFormat="1" ht="12.75" hidden="1">
      <c r="B51" s="224"/>
      <c r="C51" s="225" t="s">
        <v>315</v>
      </c>
      <c r="D51" s="226">
        <f>B12/2.14</f>
        <v>0</v>
      </c>
      <c r="E51" s="232"/>
      <c r="F51" s="230"/>
    </row>
    <row r="52" spans="2:6" s="61" customFormat="1" ht="12.75" hidden="1">
      <c r="B52" s="224"/>
      <c r="C52" s="224"/>
      <c r="D52" s="233"/>
      <c r="E52" s="234"/>
      <c r="F52" s="230"/>
    </row>
    <row r="53" spans="2:6" s="61" customFormat="1" ht="12.75" hidden="1">
      <c r="B53" s="235"/>
      <c r="C53" s="236" t="s">
        <v>316</v>
      </c>
      <c r="D53" s="237">
        <f>D42/93</f>
        <v>0</v>
      </c>
      <c r="E53" s="238"/>
      <c r="F53" s="239"/>
    </row>
    <row r="54" spans="2:6" s="61" customFormat="1" ht="12.75" hidden="1">
      <c r="B54" s="235"/>
      <c r="C54" s="236" t="s">
        <v>317</v>
      </c>
      <c r="D54" s="237">
        <f>D43/93</f>
        <v>0</v>
      </c>
      <c r="E54" s="238"/>
      <c r="F54" s="239"/>
    </row>
    <row r="55" spans="2:6" s="61" customFormat="1" ht="12.75" hidden="1">
      <c r="B55" s="235"/>
      <c r="C55" s="236" t="s">
        <v>318</v>
      </c>
      <c r="D55" s="237">
        <f>D44/93</f>
        <v>0</v>
      </c>
      <c r="E55" s="238"/>
      <c r="F55" s="239"/>
    </row>
    <row r="56" spans="2:6" s="61" customFormat="1" ht="12.75" hidden="1">
      <c r="B56" s="235"/>
      <c r="C56" s="236" t="s">
        <v>319</v>
      </c>
      <c r="D56" s="237">
        <f>D57+(1000*(D39-D40))</f>
        <v>0</v>
      </c>
      <c r="E56" s="238"/>
      <c r="F56" s="239"/>
    </row>
    <row r="57" spans="2:6" s="61" customFormat="1" ht="12.75" hidden="1">
      <c r="B57" s="235"/>
      <c r="C57" s="236" t="s">
        <v>320</v>
      </c>
      <c r="D57" s="237" t="b">
        <f>IF(D38="m",1000*(2.447-0.09516*D37+0.1074*D36+0.3362*D40),IF(D38="f",1000*(2.135-0.02556*D37+0.08551*D36+0.2491*D40)))</f>
        <v>0</v>
      </c>
      <c r="E57" s="238"/>
      <c r="F57" s="239"/>
    </row>
    <row r="58" spans="2:6" s="61" customFormat="1" ht="12.75" hidden="1">
      <c r="B58" s="235"/>
      <c r="C58" s="236" t="s">
        <v>321</v>
      </c>
      <c r="D58" s="237">
        <f>D57+(1000*(D41-D40))</f>
        <v>0</v>
      </c>
      <c r="E58" s="238"/>
      <c r="F58" s="239"/>
    </row>
    <row r="59" spans="2:6" s="61" customFormat="1" ht="12.75" hidden="1">
      <c r="B59" s="235"/>
      <c r="C59" s="236" t="s">
        <v>322</v>
      </c>
      <c r="D59" s="237" t="e">
        <f>D53*D56+D65*D45-D60-D57*D54</f>
        <v>#DIV/0!</v>
      </c>
      <c r="E59" s="238"/>
      <c r="F59" s="239"/>
    </row>
    <row r="60" spans="2:6" s="61" customFormat="1" ht="12.75" hidden="1">
      <c r="B60" s="235"/>
      <c r="C60" s="236" t="s">
        <v>323</v>
      </c>
      <c r="D60" s="237">
        <f>D47*((D53+D54)/2)*D45</f>
        <v>0</v>
      </c>
      <c r="E60" s="238"/>
      <c r="F60" s="239"/>
    </row>
    <row r="61" spans="2:6" s="61" customFormat="1" ht="12.75" hidden="1">
      <c r="B61" s="235"/>
      <c r="C61" s="236" t="s">
        <v>324</v>
      </c>
      <c r="D61" s="237">
        <f>D47*((D54+D55)/2)*D46</f>
        <v>0</v>
      </c>
      <c r="E61" s="238"/>
      <c r="F61" s="239"/>
    </row>
    <row r="62" spans="2:6" s="61" customFormat="1" ht="12.75" hidden="1">
      <c r="B62" s="235"/>
      <c r="C62" s="235"/>
      <c r="D62" s="235"/>
      <c r="E62" s="238"/>
      <c r="F62" s="239"/>
    </row>
    <row r="63" spans="2:6" s="61" customFormat="1" ht="12.75" hidden="1">
      <c r="B63" s="235"/>
      <c r="C63" s="235"/>
      <c r="D63" s="235"/>
      <c r="E63" s="238"/>
      <c r="F63" s="239"/>
    </row>
    <row r="64" spans="2:6" s="61" customFormat="1" ht="12.75" hidden="1">
      <c r="B64" s="235"/>
      <c r="C64" s="240" t="s">
        <v>325</v>
      </c>
      <c r="D64" s="241" t="e">
        <f>(D59*LN(D53/D54))/(D45*(D53-D54))</f>
        <v>#DIV/0!</v>
      </c>
      <c r="F64" s="54"/>
    </row>
    <row r="65" spans="2:6" s="61" customFormat="1" ht="12.75" hidden="1">
      <c r="B65" s="235"/>
      <c r="C65" s="240" t="s">
        <v>326</v>
      </c>
      <c r="D65" s="241" t="e">
        <f>(D55*D58-D54*D57+D61)/D46</f>
        <v>#DIV/0!</v>
      </c>
      <c r="F65" s="54"/>
    </row>
    <row r="66" spans="2:6" s="61" customFormat="1" ht="12.75" hidden="1">
      <c r="B66" s="235"/>
      <c r="C66" s="240" t="s">
        <v>327</v>
      </c>
      <c r="D66" s="241" t="e">
        <f>D64*D45/D57</f>
        <v>#DIV/0!</v>
      </c>
      <c r="F66" s="54"/>
    </row>
    <row r="67" spans="2:6" s="61" customFormat="1" ht="12.75" hidden="1">
      <c r="B67" s="235"/>
      <c r="C67" s="240" t="s">
        <v>328</v>
      </c>
      <c r="D67" s="241" t="e">
        <f>9.35*(D65/2.14)+0.29*(D57/1000)</f>
        <v>#DIV/0!</v>
      </c>
      <c r="F67" s="54"/>
    </row>
    <row r="68" spans="2:6" s="61" customFormat="1" ht="12.75" hidden="1">
      <c r="B68" s="235"/>
      <c r="C68" s="240" t="s">
        <v>329</v>
      </c>
      <c r="D68" s="241" t="e">
        <f>D67/D40</f>
        <v>#DIV/0!</v>
      </c>
      <c r="F68" s="54"/>
    </row>
    <row r="69" spans="2:5" s="61" customFormat="1" ht="12.75" hidden="1">
      <c r="B69" s="235"/>
      <c r="C69" s="240" t="s">
        <v>330</v>
      </c>
      <c r="D69" s="241" t="e">
        <f>((D45*(D49+D50)+D46*(D51+D50))/2)/(D45+D46)</f>
        <v>#DIV/0!</v>
      </c>
      <c r="E69" s="147"/>
    </row>
    <row r="70" spans="1:5" s="61" customFormat="1" ht="12.75" hidden="1">
      <c r="A70" s="54"/>
      <c r="B70" s="54"/>
      <c r="C70" s="54"/>
      <c r="D70" s="166"/>
      <c r="E70" s="147"/>
    </row>
    <row r="71" spans="1:5" s="61" customFormat="1" ht="12.75" hidden="1">
      <c r="A71" s="54"/>
      <c r="B71" s="54"/>
      <c r="C71" s="61" t="s">
        <v>331</v>
      </c>
      <c r="D71" s="166"/>
      <c r="E71" s="147"/>
    </row>
    <row r="72" spans="1:5" s="61" customFormat="1" ht="12.75" hidden="1">
      <c r="A72" s="54"/>
      <c r="B72" s="54"/>
      <c r="C72" s="61" t="s">
        <v>332</v>
      </c>
      <c r="D72" s="166"/>
      <c r="E72" s="147"/>
    </row>
    <row r="73" spans="1:5" s="61" customFormat="1" ht="12.75" hidden="1">
      <c r="A73" s="54"/>
      <c r="B73" s="54"/>
      <c r="C73" s="61" t="s">
        <v>333</v>
      </c>
      <c r="D73" s="166"/>
      <c r="E73" s="147"/>
    </row>
    <row r="74" spans="1:5" s="61" customFormat="1" ht="12.75" hidden="1">
      <c r="A74" s="54"/>
      <c r="B74" s="54"/>
      <c r="C74" s="61" t="s">
        <v>334</v>
      </c>
      <c r="D74" s="168"/>
      <c r="E74" s="147"/>
    </row>
    <row r="75" spans="1:5" s="61" customFormat="1" ht="12.75" hidden="1">
      <c r="A75" s="54"/>
      <c r="B75" s="54"/>
      <c r="C75" s="61" t="s">
        <v>335</v>
      </c>
      <c r="D75" s="168"/>
      <c r="E75" s="147"/>
    </row>
    <row r="76" spans="1:5" s="61" customFormat="1" ht="12.75" hidden="1">
      <c r="A76" s="54"/>
      <c r="B76" s="54"/>
      <c r="C76" s="54"/>
      <c r="D76" s="168"/>
      <c r="E76" s="147"/>
    </row>
    <row r="77" spans="1:5" s="61" customFormat="1" ht="12.75" hidden="1">
      <c r="A77" s="54"/>
      <c r="B77" s="54"/>
      <c r="C77" s="54"/>
      <c r="D77" s="168"/>
      <c r="E77" s="147"/>
    </row>
    <row r="78" spans="1:5" s="61" customFormat="1" ht="12.75" hidden="1">
      <c r="A78" s="54"/>
      <c r="B78" s="54"/>
      <c r="C78" s="54"/>
      <c r="D78" s="168"/>
      <c r="E78" s="147"/>
    </row>
    <row r="79" spans="1:5" s="61" customFormat="1" ht="12.75">
      <c r="A79" s="54"/>
      <c r="B79" s="54"/>
      <c r="C79" s="54"/>
      <c r="D79" s="166"/>
      <c r="E79" s="147"/>
    </row>
    <row r="80" spans="1:5" s="61" customFormat="1" ht="12.75">
      <c r="A80" s="54"/>
      <c r="B80" s="54"/>
      <c r="C80" s="54"/>
      <c r="D80" s="166"/>
      <c r="E80" s="147"/>
    </row>
    <row r="81" spans="1:5" s="61" customFormat="1" ht="12.75">
      <c r="A81" s="54"/>
      <c r="B81" s="54"/>
      <c r="C81" s="54"/>
      <c r="D81" s="166"/>
      <c r="E81" s="147"/>
    </row>
    <row r="82" spans="1:5" s="61" customFormat="1" ht="12.75">
      <c r="A82" s="54"/>
      <c r="B82" s="54"/>
      <c r="C82" s="54"/>
      <c r="D82" s="168"/>
      <c r="E82" s="147"/>
    </row>
    <row r="83" spans="1:5" s="61" customFormat="1" ht="12.75">
      <c r="A83" s="54"/>
      <c r="B83" s="54"/>
      <c r="C83" s="54"/>
      <c r="D83" s="166"/>
      <c r="E83" s="147"/>
    </row>
    <row r="84" spans="1:5" s="61" customFormat="1" ht="12.75">
      <c r="A84" s="220"/>
      <c r="B84" s="54"/>
      <c r="C84" s="54"/>
      <c r="D84" s="166"/>
      <c r="E84" s="147"/>
    </row>
    <row r="85" spans="1:5" s="61" customFormat="1" ht="12.75">
      <c r="A85" s="54"/>
      <c r="B85" s="54"/>
      <c r="C85" s="54"/>
      <c r="D85" s="166"/>
      <c r="E85" s="147"/>
    </row>
    <row r="86" spans="1:5" s="61" customFormat="1" ht="12.75">
      <c r="A86" s="54"/>
      <c r="B86" s="54"/>
      <c r="C86" s="54"/>
      <c r="D86" s="166"/>
      <c r="E86" s="147"/>
    </row>
    <row r="87" spans="1:5" s="61" customFormat="1" ht="12.75">
      <c r="A87" s="54"/>
      <c r="B87" s="54"/>
      <c r="C87" s="54"/>
      <c r="D87" s="166"/>
      <c r="E87" s="147"/>
    </row>
    <row r="88" spans="1:5" s="61" customFormat="1" ht="12.75">
      <c r="A88" s="54"/>
      <c r="B88" s="54"/>
      <c r="C88" s="54"/>
      <c r="D88" s="166"/>
      <c r="E88" s="147"/>
    </row>
    <row r="89" spans="1:5" s="61" customFormat="1" ht="12.75">
      <c r="A89" s="54"/>
      <c r="B89" s="54"/>
      <c r="C89" s="54"/>
      <c r="D89" s="166"/>
      <c r="E89" s="147"/>
    </row>
    <row r="90" spans="1:5" s="61" customFormat="1" ht="12.75">
      <c r="A90" s="54"/>
      <c r="B90" s="54"/>
      <c r="C90" s="54"/>
      <c r="D90" s="166"/>
      <c r="E90" s="147"/>
    </row>
    <row r="91" spans="1:5" s="61" customFormat="1" ht="12.75">
      <c r="A91" s="54"/>
      <c r="B91" s="54"/>
      <c r="C91" s="147"/>
      <c r="D91" s="166"/>
      <c r="E91" s="147"/>
    </row>
    <row r="92" spans="1:5" s="61" customFormat="1" ht="12.75">
      <c r="A92" s="54"/>
      <c r="B92" s="54"/>
      <c r="C92" s="54"/>
      <c r="D92" s="166"/>
      <c r="E92" s="147"/>
    </row>
    <row r="93" spans="1:22" ht="12.75">
      <c r="A93" s="34"/>
      <c r="B93" s="34"/>
      <c r="C93" s="34"/>
      <c r="D93" s="90"/>
      <c r="E93" s="66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</row>
    <row r="94" spans="1:22" ht="12.75">
      <c r="A94" s="34"/>
      <c r="B94" s="34"/>
      <c r="C94" s="34"/>
      <c r="D94" s="90"/>
      <c r="E94" s="66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22" ht="12.75">
      <c r="A95" s="34"/>
      <c r="B95" s="34"/>
      <c r="C95" s="34"/>
      <c r="D95" s="90"/>
      <c r="E95" s="66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</row>
    <row r="96" spans="1:22" ht="12.75">
      <c r="A96" s="34"/>
      <c r="B96" s="34"/>
      <c r="C96" s="34"/>
      <c r="D96" s="90"/>
      <c r="E96" s="66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</row>
    <row r="97" spans="1:22" ht="12.75">
      <c r="A97" s="34"/>
      <c r="B97" s="34"/>
      <c r="C97" s="34"/>
      <c r="D97" s="90"/>
      <c r="E97" s="66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</row>
    <row r="98" spans="1:22" ht="12.75">
      <c r="A98" s="34"/>
      <c r="B98" s="34"/>
      <c r="C98" s="34"/>
      <c r="D98" s="90"/>
      <c r="E98" s="66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</row>
    <row r="99" spans="1:22" ht="12.75">
      <c r="A99" s="34"/>
      <c r="B99" s="34"/>
      <c r="C99" s="34"/>
      <c r="D99" s="90"/>
      <c r="E99" s="6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</row>
    <row r="100" spans="1:22" ht="12.75">
      <c r="A100" s="34"/>
      <c r="B100" s="34"/>
      <c r="C100" s="34"/>
      <c r="D100" s="90"/>
      <c r="E100" s="66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:22" ht="12.75">
      <c r="A101" s="34"/>
      <c r="B101" s="34"/>
      <c r="C101" s="34"/>
      <c r="D101" s="90"/>
      <c r="E101" s="66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:22" ht="12.75">
      <c r="A102" s="34"/>
      <c r="B102" s="34"/>
      <c r="C102" s="34"/>
      <c r="D102" s="90"/>
      <c r="E102" s="66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 ht="12.75">
      <c r="A103" s="34"/>
      <c r="B103" s="34"/>
      <c r="C103" s="34"/>
      <c r="D103" s="90"/>
      <c r="E103" s="66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:22" ht="12.75">
      <c r="A104" s="34"/>
      <c r="B104" s="34"/>
      <c r="C104" s="34"/>
      <c r="D104" s="90"/>
      <c r="E104" s="66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1:22" ht="12.75">
      <c r="A105" s="34"/>
      <c r="B105" s="34"/>
      <c r="C105" s="34"/>
      <c r="D105" s="90"/>
      <c r="E105" s="66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1:22" ht="12.75">
      <c r="A106" s="34"/>
      <c r="B106" s="34"/>
      <c r="C106" s="34"/>
      <c r="D106" s="90"/>
      <c r="E106" s="66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:22" ht="12.75">
      <c r="A107" s="34"/>
      <c r="B107" s="34"/>
      <c r="C107" s="34"/>
      <c r="D107" s="90"/>
      <c r="E107" s="66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1:22" ht="12.75">
      <c r="A108" s="34"/>
      <c r="B108" s="34"/>
      <c r="C108" s="34"/>
      <c r="D108" s="90"/>
      <c r="E108" s="66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:22" ht="12.75">
      <c r="A109" s="34"/>
      <c r="B109" s="34"/>
      <c r="C109" s="34"/>
      <c r="D109" s="90"/>
      <c r="E109" s="66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</row>
    <row r="110" spans="1:22" ht="12.75">
      <c r="A110" s="34"/>
      <c r="B110" s="34"/>
      <c r="C110" s="34"/>
      <c r="D110" s="90"/>
      <c r="E110" s="66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 ht="12.75">
      <c r="A111" s="34"/>
      <c r="B111" s="34"/>
      <c r="C111" s="34"/>
      <c r="D111" s="90"/>
      <c r="E111" s="66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22" ht="12.75">
      <c r="A112" s="34"/>
      <c r="B112" s="34"/>
      <c r="C112" s="34"/>
      <c r="D112" s="90"/>
      <c r="E112" s="66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</row>
    <row r="113" spans="1:22" ht="12.75">
      <c r="A113" s="34"/>
      <c r="B113" s="34"/>
      <c r="C113" s="34"/>
      <c r="D113" s="90"/>
      <c r="E113" s="66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</row>
    <row r="114" spans="1:22" ht="12.75">
      <c r="A114" s="34"/>
      <c r="B114" s="34"/>
      <c r="C114" s="34"/>
      <c r="D114" s="90"/>
      <c r="E114" s="66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</row>
    <row r="115" spans="1:22" ht="12.75">
      <c r="A115" s="34"/>
      <c r="B115" s="34"/>
      <c r="C115" s="34"/>
      <c r="D115" s="90"/>
      <c r="E115" s="66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</row>
    <row r="116" spans="1:22" ht="12.75">
      <c r="A116" s="34"/>
      <c r="B116" s="34"/>
      <c r="C116" s="34"/>
      <c r="D116" s="90"/>
      <c r="E116" s="66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</row>
    <row r="117" spans="1:22" ht="12.75">
      <c r="A117" s="34"/>
      <c r="B117" s="34"/>
      <c r="C117" s="34"/>
      <c r="D117" s="90"/>
      <c r="E117" s="66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ht="12.75">
      <c r="A118" s="34"/>
      <c r="B118" s="34"/>
      <c r="C118" s="34"/>
      <c r="D118" s="90"/>
      <c r="E118" s="66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</row>
    <row r="119" spans="1:22" ht="12.75">
      <c r="A119" s="34"/>
      <c r="B119" s="34"/>
      <c r="C119" s="34"/>
      <c r="D119" s="90"/>
      <c r="E119" s="66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</row>
    <row r="120" spans="1:22" ht="12.75">
      <c r="A120" s="34"/>
      <c r="B120" s="34"/>
      <c r="C120" s="34"/>
      <c r="D120" s="90"/>
      <c r="E120" s="66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</row>
    <row r="121" spans="1:22" ht="12.75">
      <c r="A121" s="34"/>
      <c r="B121" s="34"/>
      <c r="C121" s="34"/>
      <c r="D121" s="90"/>
      <c r="E121" s="66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</row>
    <row r="122" spans="1:22" ht="12.75">
      <c r="A122" s="34"/>
      <c r="B122" s="34"/>
      <c r="C122" s="34"/>
      <c r="D122" s="90"/>
      <c r="E122" s="66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</row>
    <row r="123" spans="1:22" ht="12.75">
      <c r="A123" s="34"/>
      <c r="B123" s="34"/>
      <c r="C123" s="34"/>
      <c r="D123" s="90"/>
      <c r="E123" s="66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 ht="12.75">
      <c r="A124" s="34"/>
      <c r="B124" s="34"/>
      <c r="C124" s="34"/>
      <c r="D124" s="90"/>
      <c r="E124" s="66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</row>
    <row r="125" spans="1:22" ht="12.75">
      <c r="A125" s="34"/>
      <c r="B125" s="34"/>
      <c r="C125" s="34"/>
      <c r="D125" s="90"/>
      <c r="E125" s="66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</row>
    <row r="126" spans="1:22" ht="12.75">
      <c r="A126" s="34"/>
      <c r="B126" s="34"/>
      <c r="C126" s="34"/>
      <c r="D126" s="90"/>
      <c r="E126" s="66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</row>
    <row r="127" spans="1:22" ht="12.75">
      <c r="A127" s="34"/>
      <c r="B127" s="34"/>
      <c r="C127" s="34"/>
      <c r="D127" s="90"/>
      <c r="E127" s="66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1:22" ht="12.75">
      <c r="A128" s="34"/>
      <c r="B128" s="34"/>
      <c r="C128" s="34"/>
      <c r="D128" s="90"/>
      <c r="E128" s="66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1:22" ht="12.75">
      <c r="A129" s="34"/>
      <c r="B129" s="34"/>
      <c r="C129" s="34"/>
      <c r="D129" s="90"/>
      <c r="E129" s="66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</row>
    <row r="130" spans="1:22" ht="12.75">
      <c r="A130" s="34"/>
      <c r="B130" s="34"/>
      <c r="C130" s="34"/>
      <c r="D130" s="90"/>
      <c r="E130" s="66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1:22" ht="12.75">
      <c r="A131" s="34"/>
      <c r="B131" s="34"/>
      <c r="C131" s="34"/>
      <c r="D131" s="90"/>
      <c r="E131" s="66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:22" ht="12.75">
      <c r="A132" s="34"/>
      <c r="B132" s="34"/>
      <c r="C132" s="34"/>
      <c r="D132" s="90"/>
      <c r="E132" s="66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</row>
    <row r="133" spans="1:22" ht="12.75">
      <c r="A133" s="34"/>
      <c r="B133" s="34"/>
      <c r="C133" s="34"/>
      <c r="D133" s="90"/>
      <c r="E133" s="66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</row>
    <row r="134" spans="1:22" ht="12.75">
      <c r="A134" s="34"/>
      <c r="B134" s="34"/>
      <c r="C134" s="34"/>
      <c r="D134" s="90"/>
      <c r="E134" s="66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</row>
    <row r="135" spans="1:22" ht="12.75">
      <c r="A135" s="34"/>
      <c r="B135" s="34"/>
      <c r="C135" s="34"/>
      <c r="D135" s="90"/>
      <c r="E135" s="66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</row>
    <row r="136" spans="1:22" ht="12.75">
      <c r="A136" s="34"/>
      <c r="B136" s="34"/>
      <c r="C136" s="34"/>
      <c r="D136" s="90"/>
      <c r="E136" s="66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</row>
    <row r="137" spans="1:22" ht="12.75">
      <c r="A137" s="34"/>
      <c r="B137" s="34"/>
      <c r="C137" s="34"/>
      <c r="D137" s="90"/>
      <c r="E137" s="66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</row>
    <row r="138" spans="1:22" ht="12.75">
      <c r="A138" s="34"/>
      <c r="B138" s="34"/>
      <c r="C138" s="34"/>
      <c r="D138" s="90"/>
      <c r="E138" s="66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</row>
    <row r="139" spans="1:22" ht="12.75">
      <c r="A139" s="34"/>
      <c r="B139" s="34"/>
      <c r="C139" s="34"/>
      <c r="D139" s="90"/>
      <c r="E139" s="66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</row>
    <row r="140" spans="1:22" ht="12.75">
      <c r="A140" s="34"/>
      <c r="B140" s="34"/>
      <c r="C140" s="34"/>
      <c r="D140" s="90"/>
      <c r="E140" s="66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</row>
    <row r="141" spans="1:22" ht="12.75">
      <c r="A141" s="34"/>
      <c r="B141" s="34"/>
      <c r="C141" s="34"/>
      <c r="D141" s="90"/>
      <c r="E141" s="66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</row>
    <row r="142" spans="1:22" ht="12.75">
      <c r="A142" s="34"/>
      <c r="B142" s="34"/>
      <c r="C142" s="34"/>
      <c r="D142" s="90"/>
      <c r="E142" s="66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</row>
    <row r="143" spans="1:22" ht="12.75">
      <c r="A143" s="34"/>
      <c r="B143" s="34"/>
      <c r="C143" s="34"/>
      <c r="D143" s="90"/>
      <c r="E143" s="66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</row>
    <row r="144" spans="1:22" ht="12.75">
      <c r="A144" s="34"/>
      <c r="B144" s="34"/>
      <c r="C144" s="34"/>
      <c r="D144" s="90"/>
      <c r="E144" s="66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</row>
    <row r="145" spans="1:22" ht="12.75">
      <c r="A145" s="34"/>
      <c r="B145" s="34"/>
      <c r="C145" s="34"/>
      <c r="D145" s="90"/>
      <c r="E145" s="66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</row>
    <row r="146" spans="1:22" ht="12.75">
      <c r="A146" s="34"/>
      <c r="B146" s="34"/>
      <c r="C146" s="34"/>
      <c r="D146" s="90"/>
      <c r="E146" s="66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</row>
    <row r="147" spans="1:22" ht="12.75">
      <c r="A147" s="34"/>
      <c r="B147" s="34"/>
      <c r="C147" s="34"/>
      <c r="D147" s="90"/>
      <c r="E147" s="66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</row>
    <row r="148" spans="1:22" ht="12.75">
      <c r="A148" s="34"/>
      <c r="B148" s="34"/>
      <c r="C148" s="34"/>
      <c r="D148" s="90"/>
      <c r="E148" s="66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</row>
    <row r="149" spans="1:22" ht="12.75">
      <c r="A149" s="34"/>
      <c r="B149" s="34"/>
      <c r="C149" s="34"/>
      <c r="D149" s="90"/>
      <c r="E149" s="66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</row>
    <row r="150" spans="1:22" ht="12.75">
      <c r="A150" s="34"/>
      <c r="B150" s="34"/>
      <c r="C150" s="34"/>
      <c r="D150" s="90"/>
      <c r="E150" s="66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</row>
    <row r="151" spans="1:22" ht="12.75">
      <c r="A151" s="34"/>
      <c r="B151" s="34"/>
      <c r="C151" s="34"/>
      <c r="D151" s="90"/>
      <c r="E151" s="66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</row>
    <row r="152" spans="1:22" ht="12.75">
      <c r="A152" s="34"/>
      <c r="B152" s="34"/>
      <c r="C152" s="34"/>
      <c r="D152" s="90"/>
      <c r="E152" s="66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</row>
    <row r="153" spans="1:22" ht="12.75">
      <c r="A153" s="34"/>
      <c r="B153" s="34"/>
      <c r="C153" s="34"/>
      <c r="D153" s="90"/>
      <c r="E153" s="66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</row>
    <row r="154" spans="1:22" ht="12.75">
      <c r="A154" s="34"/>
      <c r="B154" s="34"/>
      <c r="C154" s="34"/>
      <c r="D154" s="90"/>
      <c r="E154" s="66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</row>
    <row r="155" spans="1:22" ht="12.75">
      <c r="A155" s="34"/>
      <c r="B155" s="34"/>
      <c r="C155" s="34"/>
      <c r="D155" s="90"/>
      <c r="E155" s="66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</row>
    <row r="156" spans="1:22" ht="12.75">
      <c r="A156" s="34"/>
      <c r="B156" s="34"/>
      <c r="C156" s="34"/>
      <c r="D156" s="90"/>
      <c r="E156" s="66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</row>
    <row r="157" spans="1:22" ht="12.75">
      <c r="A157" s="34"/>
      <c r="B157" s="34"/>
      <c r="C157" s="34"/>
      <c r="D157" s="90"/>
      <c r="E157" s="66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</row>
    <row r="158" spans="1:22" ht="12.75">
      <c r="A158" s="34"/>
      <c r="B158" s="34"/>
      <c r="C158" s="34"/>
      <c r="D158" s="90"/>
      <c r="E158" s="66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</row>
    <row r="159" spans="1:22" ht="12.75">
      <c r="A159" s="34"/>
      <c r="B159" s="34"/>
      <c r="C159" s="34"/>
      <c r="D159" s="90"/>
      <c r="E159" s="66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</row>
    <row r="160" spans="1:22" ht="12.75">
      <c r="A160" s="34"/>
      <c r="B160" s="34"/>
      <c r="C160" s="34"/>
      <c r="D160" s="90"/>
      <c r="E160" s="66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</row>
    <row r="161" spans="1:22" ht="12.75">
      <c r="A161" s="34"/>
      <c r="B161" s="34"/>
      <c r="C161" s="34"/>
      <c r="D161" s="90"/>
      <c r="E161" s="66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</row>
    <row r="162" spans="1:22" ht="12.75">
      <c r="A162" s="34"/>
      <c r="B162" s="34"/>
      <c r="C162" s="34"/>
      <c r="D162" s="90"/>
      <c r="E162" s="66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</row>
    <row r="163" spans="1:22" ht="12.75">
      <c r="A163" s="34"/>
      <c r="B163" s="34"/>
      <c r="C163" s="34"/>
      <c r="D163" s="90"/>
      <c r="E163" s="66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</row>
    <row r="164" spans="1:22" ht="12.75">
      <c r="A164" s="34"/>
      <c r="B164" s="34"/>
      <c r="C164" s="34"/>
      <c r="D164" s="90"/>
      <c r="E164" s="66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1:22" ht="12.75">
      <c r="A165" s="34"/>
      <c r="B165" s="34"/>
      <c r="C165" s="34"/>
      <c r="D165" s="90"/>
      <c r="E165" s="66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1:22" ht="12.75">
      <c r="A166" s="34"/>
      <c r="B166" s="34"/>
      <c r="C166" s="34"/>
      <c r="D166" s="90"/>
      <c r="E166" s="66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</row>
    <row r="167" spans="1:22" ht="12.75">
      <c r="A167" s="34"/>
      <c r="B167" s="34"/>
      <c r="C167" s="34"/>
      <c r="D167" s="90"/>
      <c r="E167" s="66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</row>
    <row r="168" spans="1:22" ht="12.75">
      <c r="A168" s="34"/>
      <c r="B168" s="34"/>
      <c r="C168" s="34"/>
      <c r="D168" s="90"/>
      <c r="E168" s="66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</row>
    <row r="169" spans="1:22" ht="12.75">
      <c r="A169" s="34"/>
      <c r="B169" s="34"/>
      <c r="C169" s="34"/>
      <c r="D169" s="90"/>
      <c r="E169" s="66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</row>
    <row r="170" spans="1:22" ht="12.75">
      <c r="A170" s="34"/>
      <c r="B170" s="34"/>
      <c r="C170" s="34"/>
      <c r="D170" s="90"/>
      <c r="E170" s="66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</row>
    <row r="171" spans="1:22" ht="12.75">
      <c r="A171" s="34"/>
      <c r="B171" s="34"/>
      <c r="C171" s="34"/>
      <c r="D171" s="90"/>
      <c r="E171" s="66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</row>
    <row r="172" spans="1:22" ht="12.75">
      <c r="A172" s="34"/>
      <c r="B172" s="34"/>
      <c r="C172" s="34"/>
      <c r="D172" s="90"/>
      <c r="E172" s="66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</row>
    <row r="173" spans="1:22" ht="12.75">
      <c r="A173" s="34"/>
      <c r="B173" s="34"/>
      <c r="C173" s="34"/>
      <c r="D173" s="90"/>
      <c r="E173" s="66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</row>
    <row r="174" spans="1:22" ht="12.75">
      <c r="A174" s="34"/>
      <c r="B174" s="34"/>
      <c r="C174" s="34"/>
      <c r="D174" s="90"/>
      <c r="E174" s="66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1:22" ht="12.75">
      <c r="A175" s="34"/>
      <c r="B175" s="34"/>
      <c r="C175" s="34"/>
      <c r="D175" s="90"/>
      <c r="E175" s="66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</row>
    <row r="176" spans="1:22" ht="12.75">
      <c r="A176" s="34"/>
      <c r="B176" s="34"/>
      <c r="C176" s="34"/>
      <c r="D176" s="90"/>
      <c r="E176" s="66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</row>
    <row r="177" spans="1:22" ht="12.75">
      <c r="A177" s="34"/>
      <c r="B177" s="34"/>
      <c r="C177" s="34"/>
      <c r="D177" s="90"/>
      <c r="E177" s="66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1:22" ht="12.75">
      <c r="A178" s="34"/>
      <c r="B178" s="34"/>
      <c r="C178" s="34"/>
      <c r="D178" s="90"/>
      <c r="E178" s="66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</row>
    <row r="179" spans="1:22" ht="12.75">
      <c r="A179" s="34"/>
      <c r="B179" s="34"/>
      <c r="C179" s="34"/>
      <c r="D179" s="90"/>
      <c r="E179" s="66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ht="12.75">
      <c r="A180" s="34"/>
      <c r="B180" s="34"/>
      <c r="C180" s="34"/>
      <c r="D180" s="90"/>
      <c r="E180" s="66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</row>
  </sheetData>
  <sheetProtection password="8AD1" sheet="1" objects="1" scenarios="1"/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41"/>
  <sheetViews>
    <sheetView workbookViewId="0" topLeftCell="A1">
      <selection activeCell="A2" sqref="A2"/>
    </sheetView>
  </sheetViews>
  <sheetFormatPr defaultColWidth="9.140625" defaultRowHeight="12.75"/>
  <cols>
    <col min="1" max="1" width="18.28125" style="88" customWidth="1"/>
    <col min="2" max="2" width="9.7109375" style="88" customWidth="1"/>
    <col min="3" max="3" width="20.7109375" style="88" customWidth="1"/>
    <col min="4" max="4" width="10.28125" style="88" customWidth="1"/>
    <col min="5" max="5" width="16.7109375" style="88" customWidth="1"/>
    <col min="6" max="6" width="7.57421875" style="88" customWidth="1"/>
    <col min="7" max="7" width="11.28125" style="88" customWidth="1"/>
    <col min="8" max="8" width="16.57421875" style="146" bestFit="1" customWidth="1"/>
    <col min="9" max="9" width="9.140625" style="101" customWidth="1"/>
    <col min="10" max="16384" width="9.140625" style="7" customWidth="1"/>
  </cols>
  <sheetData>
    <row r="1" spans="1:27" ht="12.75">
      <c r="A1" s="69" t="s">
        <v>243</v>
      </c>
      <c r="B1" s="59"/>
      <c r="C1" s="71"/>
      <c r="D1" s="54"/>
      <c r="E1" s="34"/>
      <c r="F1" s="34"/>
      <c r="G1" s="34"/>
      <c r="H1" s="90"/>
      <c r="I1" s="66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12.75">
      <c r="A2" s="8" t="s">
        <v>336</v>
      </c>
      <c r="B2" s="128"/>
      <c r="C2" s="72"/>
      <c r="D2" s="54"/>
      <c r="E2" s="34"/>
      <c r="F2" s="34"/>
      <c r="G2" s="34"/>
      <c r="H2" s="90"/>
      <c r="I2" s="6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2.75">
      <c r="A3" s="157" t="s">
        <v>244</v>
      </c>
      <c r="B3" s="191">
        <v>0</v>
      </c>
      <c r="C3" s="19" t="s">
        <v>2</v>
      </c>
      <c r="D3" s="34"/>
      <c r="E3" s="66"/>
      <c r="F3" s="34"/>
      <c r="G3" s="34"/>
      <c r="H3" s="90"/>
      <c r="I3" s="6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2.75">
      <c r="A4" s="158" t="s">
        <v>233</v>
      </c>
      <c r="B4" s="191">
        <v>0</v>
      </c>
      <c r="C4" s="19" t="s">
        <v>2</v>
      </c>
      <c r="D4" s="54"/>
      <c r="E4" s="66"/>
      <c r="F4" s="34"/>
      <c r="G4" s="34"/>
      <c r="H4" s="90"/>
      <c r="I4" s="6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2.75">
      <c r="A5" s="158" t="s">
        <v>245</v>
      </c>
      <c r="B5" s="191">
        <v>0</v>
      </c>
      <c r="C5" s="19" t="s">
        <v>2</v>
      </c>
      <c r="D5" s="54"/>
      <c r="E5" s="66"/>
      <c r="F5" s="34"/>
      <c r="G5" s="34"/>
      <c r="H5" s="90"/>
      <c r="I5" s="6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2.75">
      <c r="A6" s="171" t="s">
        <v>246</v>
      </c>
      <c r="B6" s="194">
        <v>0</v>
      </c>
      <c r="C6" s="23" t="s">
        <v>7</v>
      </c>
      <c r="D6" s="199">
        <f>IF(D23=1,"   ATTENZIONE: immettere sia Kru che Vt","")</f>
      </c>
      <c r="E6" s="66"/>
      <c r="F6" s="34"/>
      <c r="G6" s="34"/>
      <c r="H6" s="90"/>
      <c r="I6" s="6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2.75">
      <c r="A7" s="130" t="s">
        <v>247</v>
      </c>
      <c r="B7" s="194">
        <v>0</v>
      </c>
      <c r="C7" s="23" t="s">
        <v>7</v>
      </c>
      <c r="D7" s="54"/>
      <c r="E7" s="66"/>
      <c r="F7" s="34"/>
      <c r="G7" s="34"/>
      <c r="H7" s="90"/>
      <c r="I7" s="6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2.75">
      <c r="A8" s="172" t="s">
        <v>248</v>
      </c>
      <c r="B8" s="192" t="str">
        <f>D16</f>
        <v>----</v>
      </c>
      <c r="C8" s="26" t="s">
        <v>10</v>
      </c>
      <c r="D8" s="199"/>
      <c r="E8" s="173"/>
      <c r="F8" s="34"/>
      <c r="G8" s="34"/>
      <c r="H8" s="90"/>
      <c r="I8" s="6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6" ht="12.75">
      <c r="A9" s="34"/>
      <c r="B9" s="34"/>
      <c r="C9" s="30" t="s">
        <v>16</v>
      </c>
      <c r="D9" s="54"/>
      <c r="E9" s="66"/>
      <c r="F9" s="54"/>
      <c r="G9" s="34"/>
      <c r="H9" s="90"/>
      <c r="I9" s="6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2.75" hidden="1">
      <c r="A10" s="34"/>
      <c r="B10" s="34"/>
      <c r="C10" s="54"/>
      <c r="D10" s="54"/>
      <c r="E10" s="54"/>
      <c r="F10" s="54"/>
      <c r="G10" s="34"/>
      <c r="H10" s="90"/>
      <c r="I10" s="6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.75" hidden="1">
      <c r="A11" s="160" t="s">
        <v>264</v>
      </c>
      <c r="B11" s="71">
        <f>IF(B6*B7=0,0,B6/B7)</f>
        <v>0</v>
      </c>
      <c r="C11" s="54"/>
      <c r="D11" s="54"/>
      <c r="E11" s="54"/>
      <c r="F11" s="54"/>
      <c r="G11" s="54"/>
      <c r="H11" s="166"/>
      <c r="I11" s="147"/>
      <c r="J11" s="61"/>
      <c r="K11" s="61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2.75" hidden="1">
      <c r="A12" s="161" t="s">
        <v>245</v>
      </c>
      <c r="B12" s="165">
        <f>IF(B5&gt;5,0,IF(B5&lt;1,0,B5))</f>
        <v>0</v>
      </c>
      <c r="C12" s="54"/>
      <c r="D12" s="54"/>
      <c r="E12" s="54"/>
      <c r="F12" s="54"/>
      <c r="G12" s="54"/>
      <c r="H12" s="166"/>
      <c r="I12" s="147"/>
      <c r="J12" s="61"/>
      <c r="K12" s="61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2.75" hidden="1">
      <c r="A13" s="161" t="s">
        <v>242</v>
      </c>
      <c r="B13" s="165">
        <f>B3</f>
        <v>0</v>
      </c>
      <c r="C13" s="54"/>
      <c r="D13" s="54"/>
      <c r="E13" s="54"/>
      <c r="F13" s="54"/>
      <c r="G13" s="54"/>
      <c r="H13" s="54"/>
      <c r="I13" s="54"/>
      <c r="J13" s="200"/>
      <c r="K13" s="54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12.75" hidden="1">
      <c r="A14" s="162" t="s">
        <v>236</v>
      </c>
      <c r="B14" s="174">
        <f>(B4/2.14)</f>
        <v>0</v>
      </c>
      <c r="C14" s="159"/>
      <c r="D14" s="54"/>
      <c r="E14" s="54"/>
      <c r="F14" s="54"/>
      <c r="G14" s="54"/>
      <c r="H14" s="166"/>
      <c r="I14" s="147"/>
      <c r="J14" s="61"/>
      <c r="K14" s="61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hidden="1">
      <c r="A15" s="163"/>
      <c r="B15" s="164"/>
      <c r="C15" s="54"/>
      <c r="D15" s="54"/>
      <c r="E15" s="54"/>
      <c r="F15" s="54"/>
      <c r="G15" s="54"/>
      <c r="H15" s="166"/>
      <c r="I15" s="147"/>
      <c r="J15" s="61"/>
      <c r="K15" s="61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2.75" hidden="1">
      <c r="A16" s="175" t="s">
        <v>235</v>
      </c>
      <c r="B16" s="53" t="e">
        <f>(B19/(B40+(C40*B13)+(D40/B13)))+0.168</f>
        <v>#DIV/0!</v>
      </c>
      <c r="C16" s="176" t="str">
        <f>IF(B24&lt;3,"----",IF(B40*C40*D40=0,"errore",B16))</f>
        <v>----</v>
      </c>
      <c r="D16" s="53" t="str">
        <f>IF(D23=2,C16,IF(D23=0,C16,"errore"))</f>
        <v>----</v>
      </c>
      <c r="E16" s="34"/>
      <c r="F16" s="54"/>
      <c r="G16" s="54"/>
      <c r="H16" s="166"/>
      <c r="I16" s="147"/>
      <c r="J16" s="61"/>
      <c r="K16" s="61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2.75" hidden="1">
      <c r="A17" s="160" t="s">
        <v>249</v>
      </c>
      <c r="B17" s="71">
        <f>B14*((1+(0.79+(3.08*B13))*B11))</f>
        <v>0</v>
      </c>
      <c r="C17" s="66"/>
      <c r="D17" s="34"/>
      <c r="E17" s="34"/>
      <c r="F17" s="54"/>
      <c r="G17" s="54"/>
      <c r="H17" s="166"/>
      <c r="I17" s="147"/>
      <c r="J17" s="61"/>
      <c r="K17" s="61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.75" hidden="1">
      <c r="A18" s="161" t="s">
        <v>250</v>
      </c>
      <c r="B18" s="165">
        <f>B14*((1+(1.15+(4.56*B13))*B11))</f>
        <v>0</v>
      </c>
      <c r="C18" s="66"/>
      <c r="D18" s="34"/>
      <c r="E18" s="34"/>
      <c r="F18" s="54"/>
      <c r="G18" s="54"/>
      <c r="H18" s="166"/>
      <c r="I18" s="147"/>
      <c r="J18" s="61"/>
      <c r="K18" s="61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2.75" hidden="1">
      <c r="A19" s="162" t="s">
        <v>251</v>
      </c>
      <c r="B19" s="72">
        <f>IF(B12&lt;4,B17,B18)</f>
        <v>0</v>
      </c>
      <c r="C19" s="66"/>
      <c r="D19" s="34"/>
      <c r="E19" s="34"/>
      <c r="F19" s="54"/>
      <c r="G19" s="54"/>
      <c r="H19" s="166"/>
      <c r="I19" s="147"/>
      <c r="J19" s="61"/>
      <c r="K19" s="61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2.75" hidden="1">
      <c r="A20" s="34"/>
      <c r="B20" s="34"/>
      <c r="C20" s="66"/>
      <c r="D20" s="34"/>
      <c r="E20" s="34"/>
      <c r="F20" s="54"/>
      <c r="G20" s="54"/>
      <c r="H20" s="166"/>
      <c r="I20" s="147"/>
      <c r="J20" s="61"/>
      <c r="K20" s="61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2.75" hidden="1">
      <c r="A21" s="31" t="s">
        <v>244</v>
      </c>
      <c r="B21" s="71">
        <f>IF(B3&gt;0,1,0)</f>
        <v>0</v>
      </c>
      <c r="C21" s="167" t="s">
        <v>252</v>
      </c>
      <c r="D21" s="71">
        <f>IF(B6&gt;0,1,0)</f>
        <v>0</v>
      </c>
      <c r="E21" s="66" t="s">
        <v>181</v>
      </c>
      <c r="F21" s="54"/>
      <c r="G21" s="54"/>
      <c r="H21" s="166"/>
      <c r="I21" s="147"/>
      <c r="J21" s="61"/>
      <c r="K21" s="61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2.75" hidden="1">
      <c r="A22" s="49" t="s">
        <v>233</v>
      </c>
      <c r="B22" s="165">
        <f>IF(B4&gt;0,1,0)</f>
        <v>0</v>
      </c>
      <c r="C22" s="170" t="s">
        <v>253</v>
      </c>
      <c r="D22" s="165">
        <f>IF(B7&gt;0,1,0)</f>
        <v>0</v>
      </c>
      <c r="E22" s="34"/>
      <c r="F22" s="54"/>
      <c r="G22" s="54"/>
      <c r="H22" s="166"/>
      <c r="I22" s="147"/>
      <c r="J22" s="61"/>
      <c r="K22" s="61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2.75" hidden="1">
      <c r="A23" s="49" t="s">
        <v>245</v>
      </c>
      <c r="B23" s="165">
        <f>IF(B5&gt;0,1,0)</f>
        <v>0</v>
      </c>
      <c r="C23" s="169" t="s">
        <v>254</v>
      </c>
      <c r="D23" s="72">
        <f>SUM(D21:D22)</f>
        <v>0</v>
      </c>
      <c r="E23" s="34"/>
      <c r="F23" s="54"/>
      <c r="G23" s="54"/>
      <c r="H23" s="166"/>
      <c r="I23" s="147"/>
      <c r="J23" s="61"/>
      <c r="K23" s="61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2.75" hidden="1">
      <c r="A24" s="162" t="s">
        <v>108</v>
      </c>
      <c r="B24" s="72">
        <f>SUM(B21:B23)</f>
        <v>0</v>
      </c>
      <c r="C24" s="147"/>
      <c r="D24" s="54"/>
      <c r="E24" s="34"/>
      <c r="F24" s="54"/>
      <c r="G24" s="54"/>
      <c r="H24" s="166"/>
      <c r="I24" s="147"/>
      <c r="J24" s="61"/>
      <c r="K24" s="61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hidden="1">
      <c r="A25" s="34"/>
      <c r="B25" s="34"/>
      <c r="C25" s="34"/>
      <c r="D25" s="34"/>
      <c r="E25" s="34"/>
      <c r="F25" s="54"/>
      <c r="G25" s="54"/>
      <c r="H25" s="166"/>
      <c r="I25" s="147"/>
      <c r="J25" s="61"/>
      <c r="K25" s="61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2.75" hidden="1">
      <c r="A26" s="160"/>
      <c r="B26" s="59" t="s">
        <v>44</v>
      </c>
      <c r="C26" s="59" t="s">
        <v>45</v>
      </c>
      <c r="D26" s="71" t="s">
        <v>255</v>
      </c>
      <c r="E26" s="34"/>
      <c r="F26" s="54"/>
      <c r="G26" s="54"/>
      <c r="H26" s="166"/>
      <c r="I26" s="147"/>
      <c r="J26" s="61"/>
      <c r="K26" s="6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2.75" hidden="1">
      <c r="A27" s="161">
        <v>1</v>
      </c>
      <c r="B27" s="54">
        <v>36.3</v>
      </c>
      <c r="C27" s="54">
        <v>5.48</v>
      </c>
      <c r="D27" s="165">
        <v>53.5</v>
      </c>
      <c r="E27" s="34"/>
      <c r="F27" s="54"/>
      <c r="G27" s="54"/>
      <c r="H27" s="166"/>
      <c r="I27" s="147"/>
      <c r="J27" s="61"/>
      <c r="K27" s="6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2.75" hidden="1">
      <c r="A28" s="161">
        <v>2</v>
      </c>
      <c r="B28" s="54">
        <v>25.8</v>
      </c>
      <c r="C28" s="54">
        <v>1.15</v>
      </c>
      <c r="D28" s="165">
        <v>56.4</v>
      </c>
      <c r="E28" s="34"/>
      <c r="F28" s="54"/>
      <c r="G28" s="54"/>
      <c r="H28" s="166"/>
      <c r="I28" s="147"/>
      <c r="J28" s="61"/>
      <c r="K28" s="6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2.75" hidden="1">
      <c r="A29" s="161">
        <v>3</v>
      </c>
      <c r="B29" s="54">
        <v>16.3</v>
      </c>
      <c r="C29" s="54">
        <v>4.3</v>
      </c>
      <c r="D29" s="165">
        <v>56.6</v>
      </c>
      <c r="E29" s="34"/>
      <c r="F29" s="54"/>
      <c r="G29" s="54"/>
      <c r="H29" s="166"/>
      <c r="I29" s="147"/>
      <c r="J29" s="61"/>
      <c r="K29" s="61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hidden="1">
      <c r="A30" s="161">
        <v>4</v>
      </c>
      <c r="B30" s="54">
        <v>48</v>
      </c>
      <c r="C30" s="54">
        <v>5.14</v>
      </c>
      <c r="D30" s="165">
        <v>79</v>
      </c>
      <c r="E30" s="34"/>
      <c r="F30" s="54"/>
      <c r="G30" s="54"/>
      <c r="H30" s="166"/>
      <c r="I30" s="147"/>
      <c r="J30" s="61"/>
      <c r="K30" s="61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 hidden="1">
      <c r="A31" s="161">
        <v>5</v>
      </c>
      <c r="B31" s="54">
        <v>33</v>
      </c>
      <c r="C31" s="54">
        <v>3.6</v>
      </c>
      <c r="D31" s="165">
        <v>83.2</v>
      </c>
      <c r="E31" s="34"/>
      <c r="F31" s="54"/>
      <c r="G31" s="54"/>
      <c r="H31" s="166"/>
      <c r="I31" s="147"/>
      <c r="J31" s="61"/>
      <c r="K31" s="61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2.75" hidden="1">
      <c r="A32" s="161"/>
      <c r="B32" s="54"/>
      <c r="C32" s="54"/>
      <c r="D32" s="165"/>
      <c r="E32" s="34"/>
      <c r="F32" s="54"/>
      <c r="G32" s="54"/>
      <c r="H32" s="166"/>
      <c r="I32" s="147"/>
      <c r="J32" s="61"/>
      <c r="K32" s="61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2.75" hidden="1">
      <c r="A33" s="161"/>
      <c r="B33" s="54"/>
      <c r="C33" s="54"/>
      <c r="D33" s="165"/>
      <c r="E33" s="34"/>
      <c r="F33" s="54"/>
      <c r="G33" s="54"/>
      <c r="H33" s="166"/>
      <c r="I33" s="147"/>
      <c r="J33" s="61"/>
      <c r="K33" s="61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 hidden="1">
      <c r="A34" s="161"/>
      <c r="B34" s="54" t="s">
        <v>44</v>
      </c>
      <c r="C34" s="54" t="s">
        <v>45</v>
      </c>
      <c r="D34" s="165" t="s">
        <v>255</v>
      </c>
      <c r="E34" s="34"/>
      <c r="F34" s="54"/>
      <c r="G34" s="54"/>
      <c r="H34" s="166"/>
      <c r="I34" s="147"/>
      <c r="J34" s="61"/>
      <c r="K34" s="61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hidden="1">
      <c r="A35" s="161">
        <v>1</v>
      </c>
      <c r="B35" s="54">
        <f>IF(B12=1,B27,0)</f>
        <v>0</v>
      </c>
      <c r="C35" s="54">
        <f>IF(B12=1,C27,0)</f>
        <v>0</v>
      </c>
      <c r="D35" s="165">
        <f>IF(B12=1,D27,0)</f>
        <v>0</v>
      </c>
      <c r="E35" s="34"/>
      <c r="F35" s="54"/>
      <c r="G35" s="54"/>
      <c r="H35" s="168"/>
      <c r="I35" s="147"/>
      <c r="J35" s="61"/>
      <c r="K35" s="61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2.75" hidden="1">
      <c r="A36" s="161">
        <v>2</v>
      </c>
      <c r="B36" s="54">
        <f>IF(B12=2,B28,0)</f>
        <v>0</v>
      </c>
      <c r="C36" s="54">
        <f>IF(B12=2,C28,0)</f>
        <v>0</v>
      </c>
      <c r="D36" s="165">
        <f>IF(B12=2,D28,0)</f>
        <v>0</v>
      </c>
      <c r="E36" s="34"/>
      <c r="F36" s="54"/>
      <c r="G36" s="54"/>
      <c r="H36" s="168"/>
      <c r="I36" s="147"/>
      <c r="J36" s="61"/>
      <c r="K36" s="61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2.75" hidden="1">
      <c r="A37" s="161">
        <v>3</v>
      </c>
      <c r="B37" s="54">
        <f>IF(B12=3,B29,0)</f>
        <v>0</v>
      </c>
      <c r="C37" s="54">
        <f>IF(B12=3,C29,0)</f>
        <v>0</v>
      </c>
      <c r="D37" s="165">
        <f>IF(B12=3,D29,0)</f>
        <v>0</v>
      </c>
      <c r="E37" s="34"/>
      <c r="F37" s="54"/>
      <c r="G37" s="54"/>
      <c r="H37" s="168"/>
      <c r="I37" s="147"/>
      <c r="J37" s="61"/>
      <c r="K37" s="61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2.75" hidden="1">
      <c r="A38" s="161">
        <v>4</v>
      </c>
      <c r="B38" s="54">
        <f>IF(B12=4,B30,0)</f>
        <v>0</v>
      </c>
      <c r="C38" s="54">
        <f>IF(B12=4,C30,0)</f>
        <v>0</v>
      </c>
      <c r="D38" s="165">
        <f>IF(B12=4,D30,0)</f>
        <v>0</v>
      </c>
      <c r="E38" s="34"/>
      <c r="F38" s="54"/>
      <c r="G38" s="54"/>
      <c r="H38" s="168"/>
      <c r="I38" s="147"/>
      <c r="J38" s="61"/>
      <c r="K38" s="61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2.75" hidden="1">
      <c r="A39" s="161">
        <v>5</v>
      </c>
      <c r="B39" s="54">
        <f>IF(B12=5,B31,0)</f>
        <v>0</v>
      </c>
      <c r="C39" s="54">
        <f>IF(B12=5,C31,0)</f>
        <v>0</v>
      </c>
      <c r="D39" s="165">
        <f>IF(B12=5,D31,0)</f>
        <v>0</v>
      </c>
      <c r="E39" s="34"/>
      <c r="F39" s="54"/>
      <c r="G39" s="54"/>
      <c r="H39" s="168"/>
      <c r="I39" s="147"/>
      <c r="J39" s="61"/>
      <c r="K39" s="61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2.75" hidden="1">
      <c r="A40" s="177" t="s">
        <v>134</v>
      </c>
      <c r="B40" s="178">
        <f>SUM(B35:B39)</f>
        <v>0</v>
      </c>
      <c r="C40" s="178">
        <f>SUM(C35:C39)</f>
        <v>0</v>
      </c>
      <c r="D40" s="179">
        <f>SUM(D35:D39)</f>
        <v>0</v>
      </c>
      <c r="E40" s="34"/>
      <c r="F40" s="54"/>
      <c r="G40" s="54"/>
      <c r="H40" s="166"/>
      <c r="I40" s="147"/>
      <c r="J40" s="61"/>
      <c r="K40" s="61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2.75" hidden="1">
      <c r="A41" s="54"/>
      <c r="B41" s="54"/>
      <c r="C41" s="54"/>
      <c r="D41" s="54"/>
      <c r="E41" s="34"/>
      <c r="F41" s="54"/>
      <c r="G41" s="54"/>
      <c r="H41" s="166"/>
      <c r="I41" s="147"/>
      <c r="J41" s="61"/>
      <c r="K41" s="61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2.75">
      <c r="A42" s="54"/>
      <c r="B42" s="54"/>
      <c r="C42" s="54"/>
      <c r="D42" s="54"/>
      <c r="E42" s="34"/>
      <c r="F42" s="54"/>
      <c r="G42" s="54"/>
      <c r="H42" s="166"/>
      <c r="I42" s="147"/>
      <c r="J42" s="61"/>
      <c r="K42" s="61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>
      <c r="A43" s="34"/>
      <c r="B43" s="34"/>
      <c r="C43" s="34"/>
      <c r="D43" s="34"/>
      <c r="E43" s="34"/>
      <c r="F43" s="54"/>
      <c r="G43" s="54"/>
      <c r="H43" s="168"/>
      <c r="I43" s="147"/>
      <c r="J43" s="61"/>
      <c r="K43" s="61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>
      <c r="A44" s="34"/>
      <c r="B44" s="34"/>
      <c r="C44" s="34"/>
      <c r="D44" s="34"/>
      <c r="E44" s="34"/>
      <c r="F44" s="54"/>
      <c r="G44" s="54"/>
      <c r="H44" s="166"/>
      <c r="I44" s="147"/>
      <c r="J44" s="61"/>
      <c r="K44" s="61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2.75">
      <c r="A45" s="39"/>
      <c r="B45" s="34"/>
      <c r="C45" s="34"/>
      <c r="D45" s="34"/>
      <c r="E45" s="34"/>
      <c r="F45" s="54"/>
      <c r="G45" s="54"/>
      <c r="H45" s="166"/>
      <c r="I45" s="147"/>
      <c r="J45" s="61"/>
      <c r="K45" s="61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2.75">
      <c r="A46" s="34"/>
      <c r="B46" s="34"/>
      <c r="C46" s="34"/>
      <c r="D46" s="34"/>
      <c r="E46" s="34"/>
      <c r="F46" s="54"/>
      <c r="G46" s="54"/>
      <c r="H46" s="166"/>
      <c r="I46" s="147"/>
      <c r="J46" s="61"/>
      <c r="K46" s="61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2.75">
      <c r="A47" s="34"/>
      <c r="B47" s="34"/>
      <c r="C47" s="34"/>
      <c r="D47" s="34"/>
      <c r="E47" s="34"/>
      <c r="F47" s="54"/>
      <c r="G47" s="54"/>
      <c r="H47" s="166"/>
      <c r="I47" s="147"/>
      <c r="J47" s="61"/>
      <c r="K47" s="61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2.75">
      <c r="A48" s="34"/>
      <c r="B48" s="34"/>
      <c r="C48" s="34"/>
      <c r="D48" s="34"/>
      <c r="E48" s="34"/>
      <c r="F48" s="54"/>
      <c r="G48" s="54"/>
      <c r="H48" s="166"/>
      <c r="I48" s="147"/>
      <c r="J48" s="61"/>
      <c r="K48" s="61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>
      <c r="A49" s="34"/>
      <c r="B49" s="34"/>
      <c r="C49" s="34"/>
      <c r="D49" s="34"/>
      <c r="E49" s="34"/>
      <c r="F49" s="54"/>
      <c r="G49" s="54"/>
      <c r="H49" s="166"/>
      <c r="I49" s="147"/>
      <c r="J49" s="61"/>
      <c r="K49" s="61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2.75">
      <c r="A50" s="34"/>
      <c r="B50" s="34"/>
      <c r="C50" s="34"/>
      <c r="D50" s="34"/>
      <c r="E50" s="34"/>
      <c r="F50" s="54"/>
      <c r="G50" s="54"/>
      <c r="H50" s="166"/>
      <c r="I50" s="147"/>
      <c r="J50" s="61"/>
      <c r="K50" s="61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2.75">
      <c r="A51" s="34"/>
      <c r="B51" s="34"/>
      <c r="C51" s="34"/>
      <c r="D51" s="34"/>
      <c r="E51" s="34"/>
      <c r="F51" s="54"/>
      <c r="G51" s="54"/>
      <c r="H51" s="166"/>
      <c r="I51" s="147"/>
      <c r="J51" s="61"/>
      <c r="K51" s="61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2.75">
      <c r="A52" s="34"/>
      <c r="B52" s="34"/>
      <c r="C52" s="66"/>
      <c r="D52" s="34"/>
      <c r="E52" s="34"/>
      <c r="F52" s="34"/>
      <c r="G52" s="34"/>
      <c r="H52" s="90"/>
      <c r="I52" s="66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2.75">
      <c r="A53" s="34"/>
      <c r="B53" s="34"/>
      <c r="C53" s="34"/>
      <c r="D53" s="34"/>
      <c r="E53" s="34"/>
      <c r="F53" s="34"/>
      <c r="G53" s="34"/>
      <c r="H53" s="90"/>
      <c r="I53" s="66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2.75">
      <c r="A54" s="34"/>
      <c r="B54" s="34"/>
      <c r="C54" s="34"/>
      <c r="D54" s="34"/>
      <c r="E54" s="34"/>
      <c r="F54" s="34"/>
      <c r="G54" s="34"/>
      <c r="H54" s="90"/>
      <c r="I54" s="6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2.75">
      <c r="A55" s="34"/>
      <c r="B55" s="34"/>
      <c r="C55" s="34"/>
      <c r="D55" s="34"/>
      <c r="E55" s="34"/>
      <c r="F55" s="34"/>
      <c r="G55" s="34"/>
      <c r="H55" s="90"/>
      <c r="I55" s="6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2.75">
      <c r="A56" s="34"/>
      <c r="B56" s="34"/>
      <c r="C56" s="34"/>
      <c r="D56" s="34"/>
      <c r="E56" s="34"/>
      <c r="F56" s="34"/>
      <c r="G56" s="34"/>
      <c r="H56" s="90"/>
      <c r="I56" s="66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2.75">
      <c r="A57" s="34"/>
      <c r="B57" s="34"/>
      <c r="C57" s="34"/>
      <c r="D57" s="34"/>
      <c r="E57" s="34"/>
      <c r="F57" s="34"/>
      <c r="G57" s="34"/>
      <c r="H57" s="90"/>
      <c r="I57" s="66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2.75">
      <c r="A58" s="34"/>
      <c r="B58" s="34"/>
      <c r="C58" s="34"/>
      <c r="D58" s="34"/>
      <c r="E58" s="34"/>
      <c r="F58" s="34"/>
      <c r="G58" s="34"/>
      <c r="H58" s="90"/>
      <c r="I58" s="66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>
      <c r="A59" s="34"/>
      <c r="B59" s="34"/>
      <c r="C59" s="34"/>
      <c r="D59" s="34"/>
      <c r="E59" s="34"/>
      <c r="F59" s="34"/>
      <c r="G59" s="34"/>
      <c r="H59" s="90"/>
      <c r="I59" s="66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2.75">
      <c r="A60" s="34"/>
      <c r="B60" s="34"/>
      <c r="C60" s="34"/>
      <c r="D60" s="34"/>
      <c r="E60" s="34"/>
      <c r="F60" s="34"/>
      <c r="G60" s="34"/>
      <c r="H60" s="90"/>
      <c r="I60" s="66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2.75">
      <c r="A61" s="34"/>
      <c r="B61" s="34"/>
      <c r="C61" s="34"/>
      <c r="D61" s="34"/>
      <c r="E61" s="34"/>
      <c r="F61" s="34"/>
      <c r="G61" s="34"/>
      <c r="H61" s="90"/>
      <c r="I61" s="66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2.75">
      <c r="A62" s="34"/>
      <c r="B62" s="34"/>
      <c r="C62" s="34"/>
      <c r="D62" s="34"/>
      <c r="E62" s="34"/>
      <c r="F62" s="34"/>
      <c r="G62" s="34"/>
      <c r="H62" s="90"/>
      <c r="I62" s="66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2.75">
      <c r="A63" s="34"/>
      <c r="B63" s="34"/>
      <c r="C63" s="34"/>
      <c r="D63" s="34"/>
      <c r="E63" s="34"/>
      <c r="F63" s="34"/>
      <c r="G63" s="34"/>
      <c r="H63" s="90"/>
      <c r="I63" s="66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2.75">
      <c r="A64" s="34"/>
      <c r="B64" s="34"/>
      <c r="C64" s="34"/>
      <c r="D64" s="34"/>
      <c r="E64" s="34"/>
      <c r="F64" s="34"/>
      <c r="G64" s="34"/>
      <c r="H64" s="90"/>
      <c r="I64" s="66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2.75">
      <c r="A65" s="34"/>
      <c r="B65" s="34"/>
      <c r="C65" s="34"/>
      <c r="D65" s="34"/>
      <c r="E65" s="34"/>
      <c r="F65" s="34"/>
      <c r="G65" s="34"/>
      <c r="H65" s="90"/>
      <c r="I65" s="66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2.75">
      <c r="A66" s="34"/>
      <c r="B66" s="34"/>
      <c r="C66" s="34"/>
      <c r="D66" s="34"/>
      <c r="E66" s="34"/>
      <c r="F66" s="34"/>
      <c r="G66" s="34"/>
      <c r="H66" s="90"/>
      <c r="I66" s="66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2.75">
      <c r="A67" s="34"/>
      <c r="B67" s="34"/>
      <c r="C67" s="34"/>
      <c r="D67" s="34"/>
      <c r="E67" s="34"/>
      <c r="F67" s="34"/>
      <c r="G67" s="34"/>
      <c r="H67" s="90"/>
      <c r="I67" s="66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2.75">
      <c r="A68" s="34"/>
      <c r="B68" s="34"/>
      <c r="C68" s="34"/>
      <c r="D68" s="34"/>
      <c r="E68" s="34"/>
      <c r="F68" s="34"/>
      <c r="G68" s="34"/>
      <c r="H68" s="90"/>
      <c r="I68" s="66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>
      <c r="A69" s="34"/>
      <c r="B69" s="34"/>
      <c r="C69" s="34"/>
      <c r="D69" s="34"/>
      <c r="E69" s="34"/>
      <c r="F69" s="34"/>
      <c r="G69" s="34"/>
      <c r="H69" s="90"/>
      <c r="I69" s="66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2.75">
      <c r="A70" s="34"/>
      <c r="B70" s="34"/>
      <c r="C70" s="34"/>
      <c r="D70" s="34"/>
      <c r="E70" s="34"/>
      <c r="F70" s="34"/>
      <c r="G70" s="34"/>
      <c r="H70" s="90"/>
      <c r="I70" s="66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2.75">
      <c r="A71" s="34"/>
      <c r="B71" s="34"/>
      <c r="C71" s="34"/>
      <c r="D71" s="34"/>
      <c r="E71" s="34"/>
      <c r="F71" s="34"/>
      <c r="G71" s="34"/>
      <c r="H71" s="90"/>
      <c r="I71" s="66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2.75">
      <c r="A72" s="34"/>
      <c r="B72" s="34"/>
      <c r="C72" s="34"/>
      <c r="D72" s="34"/>
      <c r="E72" s="34"/>
      <c r="F72" s="34"/>
      <c r="G72" s="34"/>
      <c r="H72" s="90"/>
      <c r="I72" s="66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2.75">
      <c r="A73" s="34"/>
      <c r="B73" s="34"/>
      <c r="C73" s="34"/>
      <c r="D73" s="34"/>
      <c r="E73" s="34"/>
      <c r="F73" s="34"/>
      <c r="G73" s="34"/>
      <c r="H73" s="90"/>
      <c r="I73" s="66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2.75">
      <c r="A74" s="34"/>
      <c r="B74" s="34"/>
      <c r="C74" s="34"/>
      <c r="D74" s="34"/>
      <c r="E74" s="34"/>
      <c r="F74" s="34"/>
      <c r="G74" s="34"/>
      <c r="H74" s="90"/>
      <c r="I74" s="66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2.75">
      <c r="A75" s="34"/>
      <c r="B75" s="34"/>
      <c r="C75" s="34"/>
      <c r="D75" s="34"/>
      <c r="E75" s="34"/>
      <c r="F75" s="34"/>
      <c r="G75" s="34"/>
      <c r="H75" s="90"/>
      <c r="I75" s="66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2.75">
      <c r="A76" s="34"/>
      <c r="B76" s="34"/>
      <c r="C76" s="34"/>
      <c r="D76" s="34"/>
      <c r="E76" s="34"/>
      <c r="F76" s="34"/>
      <c r="G76" s="34"/>
      <c r="H76" s="90"/>
      <c r="I76" s="66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2.75">
      <c r="A77" s="34"/>
      <c r="B77" s="34"/>
      <c r="C77" s="34"/>
      <c r="D77" s="34"/>
      <c r="E77" s="34"/>
      <c r="F77" s="34"/>
      <c r="G77" s="34"/>
      <c r="H77" s="90"/>
      <c r="I77" s="66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2.75">
      <c r="A78" s="34"/>
      <c r="B78" s="34"/>
      <c r="C78" s="34"/>
      <c r="D78" s="34"/>
      <c r="E78" s="34"/>
      <c r="F78" s="34"/>
      <c r="G78" s="34"/>
      <c r="H78" s="90"/>
      <c r="I78" s="66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>
      <c r="A79" s="34"/>
      <c r="B79" s="34"/>
      <c r="C79" s="34"/>
      <c r="D79" s="34"/>
      <c r="E79" s="34"/>
      <c r="F79" s="34"/>
      <c r="G79" s="34"/>
      <c r="H79" s="90"/>
      <c r="I79" s="66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2.75">
      <c r="A80" s="34"/>
      <c r="B80" s="34"/>
      <c r="C80" s="34"/>
      <c r="D80" s="34"/>
      <c r="E80" s="34"/>
      <c r="F80" s="34"/>
      <c r="G80" s="34"/>
      <c r="H80" s="90"/>
      <c r="I80" s="66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2.75">
      <c r="A81" s="34"/>
      <c r="B81" s="34"/>
      <c r="C81" s="34"/>
      <c r="D81" s="34"/>
      <c r="E81" s="34"/>
      <c r="F81" s="34"/>
      <c r="G81" s="34"/>
      <c r="H81" s="90"/>
      <c r="I81" s="66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2.75">
      <c r="A82" s="34"/>
      <c r="B82" s="34"/>
      <c r="C82" s="34"/>
      <c r="D82" s="34"/>
      <c r="E82" s="34"/>
      <c r="F82" s="34"/>
      <c r="G82" s="34"/>
      <c r="H82" s="90"/>
      <c r="I82" s="66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2.75">
      <c r="A83" s="34"/>
      <c r="B83" s="34"/>
      <c r="C83" s="34"/>
      <c r="D83" s="34"/>
      <c r="E83" s="34"/>
      <c r="F83" s="34"/>
      <c r="G83" s="34"/>
      <c r="H83" s="90"/>
      <c r="I83" s="66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2.75">
      <c r="A84" s="34"/>
      <c r="B84" s="34"/>
      <c r="C84" s="34"/>
      <c r="D84" s="34"/>
      <c r="E84" s="34"/>
      <c r="F84" s="34"/>
      <c r="G84" s="34"/>
      <c r="H84" s="90"/>
      <c r="I84" s="66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2.75">
      <c r="A85" s="34"/>
      <c r="B85" s="34"/>
      <c r="C85" s="34"/>
      <c r="D85" s="34"/>
      <c r="E85" s="34"/>
      <c r="F85" s="34"/>
      <c r="G85" s="34"/>
      <c r="H85" s="90"/>
      <c r="I85" s="66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2.75">
      <c r="A86" s="34"/>
      <c r="B86" s="34"/>
      <c r="C86" s="34"/>
      <c r="D86" s="34"/>
      <c r="E86" s="34"/>
      <c r="F86" s="34"/>
      <c r="G86" s="34"/>
      <c r="H86" s="90"/>
      <c r="I86" s="66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>
      <c r="A87" s="34"/>
      <c r="B87" s="34"/>
      <c r="C87" s="34"/>
      <c r="D87" s="34"/>
      <c r="E87" s="34"/>
      <c r="F87" s="34"/>
      <c r="G87" s="34"/>
      <c r="H87" s="90"/>
      <c r="I87" s="66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>
      <c r="A88" s="34"/>
      <c r="B88" s="34"/>
      <c r="C88" s="34"/>
      <c r="D88" s="34"/>
      <c r="E88" s="34"/>
      <c r="F88" s="34"/>
      <c r="G88" s="34"/>
      <c r="H88" s="90"/>
      <c r="I88" s="66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2.75">
      <c r="A89" s="34"/>
      <c r="B89" s="34"/>
      <c r="C89" s="34"/>
      <c r="D89" s="34"/>
      <c r="E89" s="34"/>
      <c r="F89" s="34"/>
      <c r="G89" s="34"/>
      <c r="H89" s="90"/>
      <c r="I89" s="66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2.75">
      <c r="A90" s="34"/>
      <c r="B90" s="34"/>
      <c r="C90" s="34"/>
      <c r="D90" s="34"/>
      <c r="E90" s="34"/>
      <c r="F90" s="34"/>
      <c r="G90" s="34"/>
      <c r="H90" s="90"/>
      <c r="I90" s="66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2.75">
      <c r="A91" s="34"/>
      <c r="B91" s="34"/>
      <c r="C91" s="34"/>
      <c r="D91" s="34"/>
      <c r="E91" s="34"/>
      <c r="F91" s="34"/>
      <c r="G91" s="34"/>
      <c r="H91" s="90"/>
      <c r="I91" s="66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2.75">
      <c r="A92" s="34"/>
      <c r="B92" s="34"/>
      <c r="C92" s="34"/>
      <c r="D92" s="34"/>
      <c r="E92" s="34"/>
      <c r="F92" s="34"/>
      <c r="G92" s="34"/>
      <c r="H92" s="90"/>
      <c r="I92" s="66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>
      <c r="A93" s="34"/>
      <c r="B93" s="34"/>
      <c r="C93" s="34"/>
      <c r="D93" s="34"/>
      <c r="E93" s="34"/>
      <c r="F93" s="34"/>
      <c r="G93" s="34"/>
      <c r="H93" s="90"/>
      <c r="I93" s="66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2.75">
      <c r="A94" s="34"/>
      <c r="B94" s="34"/>
      <c r="C94" s="34"/>
      <c r="D94" s="34"/>
      <c r="E94" s="34"/>
      <c r="F94" s="34"/>
      <c r="G94" s="34"/>
      <c r="H94" s="90"/>
      <c r="I94" s="66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2.75">
      <c r="A95" s="34"/>
      <c r="B95" s="34"/>
      <c r="C95" s="34"/>
      <c r="D95" s="34"/>
      <c r="E95" s="34"/>
      <c r="F95" s="34"/>
      <c r="G95" s="34"/>
      <c r="H95" s="90"/>
      <c r="I95" s="66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2.75">
      <c r="A96" s="34"/>
      <c r="B96" s="34"/>
      <c r="C96" s="34"/>
      <c r="D96" s="34"/>
      <c r="E96" s="34"/>
      <c r="F96" s="34"/>
      <c r="G96" s="34"/>
      <c r="H96" s="90"/>
      <c r="I96" s="66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2.75">
      <c r="A97" s="34"/>
      <c r="B97" s="34"/>
      <c r="C97" s="34"/>
      <c r="D97" s="34"/>
      <c r="E97" s="34"/>
      <c r="F97" s="34"/>
      <c r="G97" s="34"/>
      <c r="H97" s="90"/>
      <c r="I97" s="66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2.75">
      <c r="A98" s="34"/>
      <c r="B98" s="34"/>
      <c r="C98" s="34"/>
      <c r="D98" s="34"/>
      <c r="E98" s="34"/>
      <c r="F98" s="34"/>
      <c r="G98" s="34"/>
      <c r="H98" s="90"/>
      <c r="I98" s="66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2.75">
      <c r="A99" s="34"/>
      <c r="B99" s="34"/>
      <c r="C99" s="34"/>
      <c r="D99" s="34"/>
      <c r="E99" s="34"/>
      <c r="F99" s="34"/>
      <c r="G99" s="34"/>
      <c r="H99" s="90"/>
      <c r="I99" s="66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2.75">
      <c r="A100" s="34"/>
      <c r="B100" s="34"/>
      <c r="C100" s="34"/>
      <c r="D100" s="34"/>
      <c r="E100" s="34"/>
      <c r="F100" s="34"/>
      <c r="G100" s="34"/>
      <c r="H100" s="90"/>
      <c r="I100" s="66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2.75">
      <c r="A101" s="34"/>
      <c r="B101" s="34"/>
      <c r="C101" s="34"/>
      <c r="D101" s="34"/>
      <c r="E101" s="34"/>
      <c r="F101" s="34"/>
      <c r="G101" s="34"/>
      <c r="H101" s="90"/>
      <c r="I101" s="66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2.75">
      <c r="A102" s="34"/>
      <c r="B102" s="34"/>
      <c r="C102" s="34"/>
      <c r="D102" s="34"/>
      <c r="E102" s="34"/>
      <c r="F102" s="34"/>
      <c r="G102" s="34"/>
      <c r="H102" s="90"/>
      <c r="I102" s="66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>
      <c r="A103" s="34"/>
      <c r="B103" s="34"/>
      <c r="C103" s="34"/>
      <c r="D103" s="34"/>
      <c r="E103" s="34"/>
      <c r="F103" s="34"/>
      <c r="G103" s="34"/>
      <c r="H103" s="90"/>
      <c r="I103" s="66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2.75">
      <c r="A104" s="34"/>
      <c r="B104" s="34"/>
      <c r="C104" s="34"/>
      <c r="D104" s="34"/>
      <c r="E104" s="34"/>
      <c r="F104" s="34"/>
      <c r="G104" s="34"/>
      <c r="H104" s="90"/>
      <c r="I104" s="66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2.75">
      <c r="A105" s="34"/>
      <c r="B105" s="34"/>
      <c r="C105" s="34"/>
      <c r="D105" s="34"/>
      <c r="E105" s="34"/>
      <c r="F105" s="34"/>
      <c r="G105" s="34"/>
      <c r="H105" s="90"/>
      <c r="I105" s="66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2.75">
      <c r="A106" s="34"/>
      <c r="B106" s="34"/>
      <c r="C106" s="34"/>
      <c r="D106" s="34"/>
      <c r="E106" s="34"/>
      <c r="F106" s="34"/>
      <c r="G106" s="34"/>
      <c r="H106" s="90"/>
      <c r="I106" s="66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2.75">
      <c r="A107" s="34"/>
      <c r="B107" s="34"/>
      <c r="C107" s="34"/>
      <c r="D107" s="34"/>
      <c r="E107" s="34"/>
      <c r="F107" s="34"/>
      <c r="G107" s="34"/>
      <c r="H107" s="90"/>
      <c r="I107" s="66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2.75">
      <c r="A108" s="34"/>
      <c r="B108" s="34"/>
      <c r="C108" s="34"/>
      <c r="D108" s="34"/>
      <c r="E108" s="34"/>
      <c r="F108" s="34"/>
      <c r="G108" s="34"/>
      <c r="H108" s="90"/>
      <c r="I108" s="66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2.75">
      <c r="A109" s="34"/>
      <c r="B109" s="34"/>
      <c r="C109" s="34"/>
      <c r="D109" s="34"/>
      <c r="E109" s="34"/>
      <c r="F109" s="34"/>
      <c r="G109" s="34"/>
      <c r="H109" s="90"/>
      <c r="I109" s="66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2.75">
      <c r="A110" s="34"/>
      <c r="B110" s="34"/>
      <c r="C110" s="34"/>
      <c r="D110" s="34"/>
      <c r="E110" s="34"/>
      <c r="F110" s="34"/>
      <c r="G110" s="34"/>
      <c r="H110" s="90"/>
      <c r="I110" s="66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2.75">
      <c r="A111" s="34"/>
      <c r="B111" s="34"/>
      <c r="C111" s="34"/>
      <c r="D111" s="34"/>
      <c r="E111" s="34"/>
      <c r="F111" s="34"/>
      <c r="G111" s="34"/>
      <c r="H111" s="90"/>
      <c r="I111" s="66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2.75">
      <c r="A112" s="34"/>
      <c r="B112" s="34"/>
      <c r="C112" s="34"/>
      <c r="D112" s="34"/>
      <c r="E112" s="34"/>
      <c r="F112" s="34"/>
      <c r="G112" s="34"/>
      <c r="H112" s="90"/>
      <c r="I112" s="66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>
      <c r="A113" s="34"/>
      <c r="B113" s="34"/>
      <c r="C113" s="34"/>
      <c r="D113" s="34"/>
      <c r="E113" s="34"/>
      <c r="F113" s="34"/>
      <c r="G113" s="34"/>
      <c r="H113" s="90"/>
      <c r="I113" s="66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>
      <c r="A114" s="34"/>
      <c r="B114" s="34"/>
      <c r="C114" s="34"/>
      <c r="D114" s="34"/>
      <c r="E114" s="34"/>
      <c r="F114" s="34"/>
      <c r="G114" s="34"/>
      <c r="H114" s="90"/>
      <c r="I114" s="66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2.75">
      <c r="A115" s="34"/>
      <c r="B115" s="34"/>
      <c r="C115" s="34"/>
      <c r="D115" s="34"/>
      <c r="E115" s="34"/>
      <c r="F115" s="34"/>
      <c r="G115" s="34"/>
      <c r="H115" s="90"/>
      <c r="I115" s="66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2.75">
      <c r="A116" s="34"/>
      <c r="B116" s="34"/>
      <c r="C116" s="34"/>
      <c r="D116" s="34"/>
      <c r="E116" s="34"/>
      <c r="F116" s="34"/>
      <c r="G116" s="34"/>
      <c r="H116" s="90"/>
      <c r="I116" s="66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2.75">
      <c r="A117" s="34"/>
      <c r="B117" s="34"/>
      <c r="C117" s="34"/>
      <c r="D117" s="34"/>
      <c r="E117" s="34"/>
      <c r="F117" s="34"/>
      <c r="G117" s="34"/>
      <c r="H117" s="90"/>
      <c r="I117" s="66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2.75">
      <c r="A118" s="34"/>
      <c r="B118" s="34"/>
      <c r="C118" s="34"/>
      <c r="D118" s="34"/>
      <c r="E118" s="34"/>
      <c r="F118" s="34"/>
      <c r="G118" s="34"/>
      <c r="H118" s="90"/>
      <c r="I118" s="66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2.75">
      <c r="A119" s="34"/>
      <c r="B119" s="34"/>
      <c r="C119" s="34"/>
      <c r="D119" s="34"/>
      <c r="E119" s="34"/>
      <c r="F119" s="34"/>
      <c r="G119" s="34"/>
      <c r="H119" s="90"/>
      <c r="I119" s="66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2.75">
      <c r="A120" s="34"/>
      <c r="B120" s="34"/>
      <c r="C120" s="34"/>
      <c r="D120" s="34"/>
      <c r="E120" s="34"/>
      <c r="F120" s="34"/>
      <c r="G120" s="34"/>
      <c r="H120" s="90"/>
      <c r="I120" s="66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2.75">
      <c r="A121" s="34"/>
      <c r="B121" s="34"/>
      <c r="C121" s="34"/>
      <c r="D121" s="34"/>
      <c r="E121" s="34"/>
      <c r="F121" s="34"/>
      <c r="G121" s="34"/>
      <c r="H121" s="90"/>
      <c r="I121" s="66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2.75">
      <c r="A122" s="34"/>
      <c r="B122" s="34"/>
      <c r="C122" s="34"/>
      <c r="D122" s="34"/>
      <c r="E122" s="34"/>
      <c r="F122" s="34"/>
      <c r="G122" s="34"/>
      <c r="H122" s="90"/>
      <c r="I122" s="66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>
      <c r="A123" s="34"/>
      <c r="B123" s="34"/>
      <c r="C123" s="34"/>
      <c r="D123" s="34"/>
      <c r="E123" s="34"/>
      <c r="F123" s="34"/>
      <c r="G123" s="34"/>
      <c r="H123" s="90"/>
      <c r="I123" s="66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2.75">
      <c r="A124" s="34"/>
      <c r="B124" s="34"/>
      <c r="C124" s="34"/>
      <c r="D124" s="34"/>
      <c r="E124" s="34"/>
      <c r="F124" s="34"/>
      <c r="G124" s="34"/>
      <c r="H124" s="90"/>
      <c r="I124" s="66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2.75">
      <c r="A125" s="34"/>
      <c r="B125" s="34"/>
      <c r="C125" s="34"/>
      <c r="D125" s="34"/>
      <c r="E125" s="34"/>
      <c r="F125" s="34"/>
      <c r="G125" s="34"/>
      <c r="H125" s="90"/>
      <c r="I125" s="66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2.75">
      <c r="A126" s="34"/>
      <c r="B126" s="34"/>
      <c r="C126" s="34"/>
      <c r="D126" s="34"/>
      <c r="E126" s="34"/>
      <c r="F126" s="34"/>
      <c r="G126" s="34"/>
      <c r="H126" s="90"/>
      <c r="I126" s="66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2.75">
      <c r="A127" s="34"/>
      <c r="B127" s="34"/>
      <c r="C127" s="34"/>
      <c r="D127" s="34"/>
      <c r="E127" s="34"/>
      <c r="F127" s="34"/>
      <c r="G127" s="34"/>
      <c r="H127" s="90"/>
      <c r="I127" s="66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2.75">
      <c r="A128" s="34"/>
      <c r="B128" s="34"/>
      <c r="C128" s="34"/>
      <c r="D128" s="34"/>
      <c r="E128" s="34"/>
      <c r="F128" s="34"/>
      <c r="G128" s="34"/>
      <c r="H128" s="90"/>
      <c r="I128" s="66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2.75">
      <c r="A129" s="34"/>
      <c r="B129" s="34"/>
      <c r="C129" s="34"/>
      <c r="D129" s="34"/>
      <c r="E129" s="34"/>
      <c r="F129" s="34"/>
      <c r="G129" s="34"/>
      <c r="H129" s="90"/>
      <c r="I129" s="66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2.75">
      <c r="A130" s="34"/>
      <c r="B130" s="34"/>
      <c r="C130" s="34"/>
      <c r="D130" s="34"/>
      <c r="E130" s="34"/>
      <c r="F130" s="34"/>
      <c r="G130" s="34"/>
      <c r="H130" s="90"/>
      <c r="I130" s="66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>
      <c r="A131" s="34"/>
      <c r="B131" s="34"/>
      <c r="C131" s="34"/>
      <c r="D131" s="34"/>
      <c r="E131" s="34"/>
      <c r="F131" s="34"/>
      <c r="G131" s="34"/>
      <c r="H131" s="90"/>
      <c r="I131" s="66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>
      <c r="A132" s="34"/>
      <c r="B132" s="34"/>
      <c r="C132" s="34"/>
      <c r="D132" s="34"/>
      <c r="E132" s="34"/>
      <c r="F132" s="34"/>
      <c r="G132" s="34"/>
      <c r="H132" s="90"/>
      <c r="I132" s="66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2.75">
      <c r="A133" s="34"/>
      <c r="B133" s="34"/>
      <c r="C133" s="34"/>
      <c r="D133" s="34"/>
      <c r="E133" s="34"/>
      <c r="F133" s="34"/>
      <c r="G133" s="34"/>
      <c r="H133" s="90"/>
      <c r="I133" s="66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2.75">
      <c r="A134" s="34"/>
      <c r="B134" s="34"/>
      <c r="C134" s="34"/>
      <c r="D134" s="34"/>
      <c r="E134" s="34"/>
      <c r="F134" s="34"/>
      <c r="G134" s="34"/>
      <c r="H134" s="90"/>
      <c r="I134" s="66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2.75">
      <c r="A135" s="34"/>
      <c r="B135" s="34"/>
      <c r="C135" s="34"/>
      <c r="D135" s="34"/>
      <c r="E135" s="34"/>
      <c r="F135" s="34"/>
      <c r="G135" s="34"/>
      <c r="H135" s="90"/>
      <c r="I135" s="66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2.75">
      <c r="A136" s="34"/>
      <c r="B136" s="34"/>
      <c r="C136" s="34"/>
      <c r="D136" s="34"/>
      <c r="E136" s="34"/>
      <c r="F136" s="34"/>
      <c r="G136" s="34"/>
      <c r="H136" s="90"/>
      <c r="I136" s="66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>
      <c r="A137" s="34"/>
      <c r="B137" s="34"/>
      <c r="C137" s="34"/>
      <c r="D137" s="34"/>
      <c r="E137" s="34"/>
      <c r="F137" s="34"/>
      <c r="G137" s="34"/>
      <c r="H137" s="90"/>
      <c r="I137" s="66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2.75">
      <c r="A138" s="34"/>
      <c r="B138" s="34"/>
      <c r="C138" s="34"/>
      <c r="D138" s="34"/>
      <c r="E138" s="34"/>
      <c r="F138" s="34"/>
      <c r="G138" s="34"/>
      <c r="H138" s="90"/>
      <c r="I138" s="66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2.75">
      <c r="A139" s="34"/>
      <c r="B139" s="34"/>
      <c r="C139" s="34"/>
      <c r="D139" s="34"/>
      <c r="E139" s="34"/>
      <c r="F139" s="34"/>
      <c r="G139" s="34"/>
      <c r="H139" s="90"/>
      <c r="I139" s="66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2.75">
      <c r="A140" s="34"/>
      <c r="B140" s="34"/>
      <c r="C140" s="34"/>
      <c r="D140" s="34"/>
      <c r="E140" s="34"/>
      <c r="F140" s="34"/>
      <c r="G140" s="34"/>
      <c r="H140" s="90"/>
      <c r="I140" s="66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2.75">
      <c r="A141" s="34"/>
      <c r="B141" s="34"/>
      <c r="C141" s="34"/>
      <c r="D141" s="34"/>
      <c r="E141" s="34"/>
      <c r="F141" s="34"/>
      <c r="G141" s="34"/>
      <c r="H141" s="90"/>
      <c r="I141" s="66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</sheetData>
  <sheetProtection password="8AD1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Morrone</dc:creator>
  <cp:keywords/>
  <dc:description/>
  <cp:lastModifiedBy>Giuseppe</cp:lastModifiedBy>
  <cp:lastPrinted>2003-02-09T19:05:29Z</cp:lastPrinted>
  <dcterms:created xsi:type="dcterms:W3CDTF">2003-02-08T15:46:12Z</dcterms:created>
  <dcterms:modified xsi:type="dcterms:W3CDTF">2003-10-17T15:32:33Z</dcterms:modified>
  <cp:category/>
  <cp:version/>
  <cp:contentType/>
  <cp:contentStatus/>
</cp:coreProperties>
</file>